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oB/YQvgPS+s465Bs7IzKy8dX+kJyoxtVOfggHzS0m9GIa3s/b+owOZCxwUQpky544V3Y9FeSAfYNxPcEWYX9Xw==" workbookSaltValue="3bR0EB1aTH2Y6EUPb80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5" i="17"/>
  <c r="H15" i="2"/>
  <c r="N13" i="2"/>
  <c r="AO12" i="17"/>
  <c r="AC10" i="11"/>
  <c r="H13" i="12"/>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G15" i="8"/>
  <c r="BD9"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6" i="6"/>
  <c r="B18" i="2"/>
  <c r="G16" i="3"/>
  <c r="BD12" i="8"/>
  <c r="Z13" i="17"/>
  <c r="H12" i="7"/>
  <c r="L12" i="14"/>
  <c r="AO12" i="11"/>
  <c r="AB19" i="8"/>
  <c r="Z19" i="8"/>
  <c r="AY13" i="8"/>
  <c r="BG10" i="8"/>
  <c r="T10" i="21"/>
  <c r="V10" i="21" s="1"/>
  <c r="C19" i="3"/>
  <c r="F9" i="2"/>
  <c r="AO16" i="11"/>
  <c r="AL11" i="11"/>
  <c r="H12" i="2"/>
  <c r="M18" i="2"/>
  <c r="N18" i="2"/>
  <c r="B9" i="6"/>
  <c r="E11" i="6"/>
  <c r="C10" i="6"/>
  <c r="BF16" i="13"/>
  <c r="BE16" i="13"/>
  <c r="AO17" i="11"/>
  <c r="E15" i="6"/>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V20" i="21"/>
  <c r="H20" i="17"/>
  <c r="U17" i="11"/>
  <c r="O10" i="11"/>
  <c r="BR20" i="16"/>
  <c r="AU20" i="17"/>
  <c r="BP20" i="16"/>
  <c r="AW20" i="11"/>
  <c r="AX20" i="21"/>
  <c r="AI19" i="11" l="1"/>
  <c r="F19" i="7"/>
  <c r="F18" i="11"/>
  <c r="I17" i="12"/>
  <c r="K16" i="12"/>
  <c r="P12" i="11"/>
  <c r="K10" i="12"/>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<sst xmlns="http://schemas.openxmlformats.org/spreadsheetml/2006/main" count="2102" uniqueCount="918">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</sst>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iCV76//gyn6IHYyXoeHuC5Qh74hmZJxkKlySPkA2OeL8ImlcYYyLCIQ5KRrFdNuq1M/TIwHI/C4o6AXvvYDAA==" saltValue="tegEHup1pxfUV9BudnMA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7</v>
      </c>
      <c r="F10" s="225">
        <f>IF(ISNUMBER(Datos!K10),Datos!K10," - ")</f>
        <v>11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9.938194444444445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7</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675</v>
      </c>
      <c r="D16" s="224">
        <f>IF(ISNUMBER(IF(D_I="SI",Datos!I16,Datos!I16+Datos!AC16)),IF(D_I="SI",Datos!I16,Datos!I16+Datos!AC16)," - ")</f>
        <v>673</v>
      </c>
      <c r="E16" s="225">
        <f>IF(ISNUMBER(IF(D_I="SI",Datos!J16,Datos!J16+Datos!AD16)),IF(D_I="SI",Datos!J16,Datos!J16+Datos!AD16)," - ")</f>
        <v>2659</v>
      </c>
      <c r="F16" s="225">
        <f>IF(ISNUMBER(IF(D_I="SI",Datos!K16,Datos!K16+Datos!AE16)),IF(D_I="SI",Datos!K16,Datos!K16+Datos!AE16)," - ")</f>
        <v>2422</v>
      </c>
      <c r="G16" s="1033" t="str">
        <f>IF(Datos!E16&lt;&gt;"",Datos!E16,Datos!D16)</f>
        <v>04</v>
      </c>
      <c r="H16" s="226">
        <f>IF(ISNUMBER(IF(D_I="SI",Datos!L16,Datos!L16+Datos!AF16)),IF(D_I="SI",Datos!L16,Datos!L16+Datos!AF16)," - ")</f>
        <v>912</v>
      </c>
      <c r="I16" s="1043" t="str">
        <f>IF(ISNUMBER(Datos!AS16/Datos!BM16),Datos!AS16/Datos!BM16," - ")</f>
        <v xml:space="preserve"> - </v>
      </c>
      <c r="J16" s="1044">
        <f>IF(ISNUMBER(Datos!BY16/Datos!CN16),Datos!BY16/Datos!CN16," - ")</f>
        <v>0</v>
      </c>
      <c r="K16" s="229">
        <f t="shared" si="3"/>
        <v>0.3511111111111111</v>
      </c>
      <c r="L16" s="1024">
        <f>IF(ISNUMBER(NºAsuntos!I16/NºAsuntos!G16),(NºAsuntos!I16/NºAsuntos!G16)*11," - ")</f>
        <v>4.1420313790255987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v>
      </c>
      <c r="D17" s="224">
        <f>IF(ISNUMBER(IF(D_I="SI",Datos!I17,Datos!I17+Datos!AC17)),IF(D_I="SI",Datos!I17,Datos!I17+Datos!AC17)," - ")</f>
        <v>25</v>
      </c>
      <c r="E17" s="225">
        <f>IF(ISNUMBER(IF(D_I="SI",Datos!J17,Datos!J17+Datos!AD17)),IF(D_I="SI",Datos!J17,Datos!J17+Datos!AD17)," - ")</f>
        <v>194</v>
      </c>
      <c r="F17" s="225">
        <f>IF(ISNUMBER(IF(D_I="SI",Datos!K17,Datos!K17+Datos!AE17)),IF(D_I="SI",Datos!K17,Datos!K17+Datos!AE17)," - ")</f>
        <v>164</v>
      </c>
      <c r="G17" s="1033" t="str">
        <f>IF(Datos!E17&lt;&gt;"",Datos!E17,Datos!D17)</f>
        <v>37</v>
      </c>
      <c r="H17" s="226">
        <f>IF(ISNUMBER(IF(D_I="SI",Datos!L17,Datos!L17+Datos!AF17)),IF(D_I="SI",Datos!L17,Datos!L17+Datos!AF17)," - ")</f>
        <v>55</v>
      </c>
      <c r="I17" s="1043" t="str">
        <f>IF(ISNUMBER(Datos!AS17/Datos!BM17),Datos!AS17/Datos!BM17," - ")</f>
        <v xml:space="preserve"> - </v>
      </c>
      <c r="J17" s="1044" t="str">
        <f>IF(ISNUMBER((Datos!BY17+Datos!BZ17)/Datos!CN17),(Datos!BY17+Datos!BZ17)/Datos!CN17," - ")</f>
        <v xml:space="preserve"> - </v>
      </c>
      <c r="K17" s="229">
        <f t="shared" si="3"/>
        <v>1.2</v>
      </c>
      <c r="L17" s="1024">
        <f>IF(ISNUMBER(NºAsuntos!I17/NºAsuntos!G17),(NºAsuntos!I17/NºAsuntos!G17)*11," - ")</f>
        <v>3.6890243902439028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700</v>
      </c>
      <c r="D18" s="1048">
        <f>SUBTOTAL(9,D15:D17)</f>
        <v>698</v>
      </c>
      <c r="E18" s="1049">
        <f>SUBTOTAL(9,E15:E17)</f>
        <v>2853</v>
      </c>
      <c r="F18" s="1049">
        <f>SUBTOTAL(9,F15:F17)</f>
        <v>2586</v>
      </c>
      <c r="G18" s="1051" t="str">
        <f ca="1">INDIRECT(CONCATENATE("G",ROW()-1))</f>
        <v>37</v>
      </c>
      <c r="H18" s="1052">
        <f ca="1">SUMIF(G$14:G17,G18,H$14:H17)</f>
        <v>55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704</v>
      </c>
      <c r="D19" s="1070">
        <f>SUBTOTAL(9,D9:D18)</f>
        <v>702</v>
      </c>
      <c r="E19" s="1071">
        <f>SUBTOTAL(9,E9:E18)</f>
        <v>2860</v>
      </c>
      <c r="F19" s="1071">
        <f>SUBTOTAL(9,F9:F18)</f>
        <v>2597</v>
      </c>
      <c r="G19" s="1072"/>
      <c r="H19" s="1073">
        <f ca="1">SUMIF(B9:B18,"TOTAL",H9:H18)</f>
        <v>55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FZ9iaKzRgfAUVSJAxMaMkOrTfNqvZMPfxSNn9ZaeYB5NqZmVCIDXoIhtpTjEXW2BuIK6EGDIctOSR0kR1obww==" saltValue="/sTsBiPqYjQ9kfzoX99fp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Gq+Bn5DeitxMgXsi5LboEAtNQ7NVRvP0s94Zyv5lEqktk+k1Vnn5mCdj04IEgHEDZUWzuEeCq/vBt2Dv+oiIg==" saltValue="CBjx42uvst+aV49EUyeP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7</v>
      </c>
      <c r="K10" s="180">
        <v>11</v>
      </c>
      <c r="L10" s="180">
        <v>0</v>
      </c>
      <c r="M10" s="180">
        <v>0</v>
      </c>
      <c r="N10" s="180">
        <v>0</v>
      </c>
      <c r="O10" s="180">
        <v>0</v>
      </c>
      <c r="P10" s="180">
        <v>0</v>
      </c>
      <c r="Q10" s="180">
        <v>0</v>
      </c>
      <c r="R10" s="180">
        <v>0</v>
      </c>
      <c r="S10" s="180">
        <v>9</v>
      </c>
      <c r="T10" s="180">
        <v>9</v>
      </c>
      <c r="U10" s="180">
        <v>14</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9</v>
      </c>
      <c r="BA10" s="129">
        <f t="shared" si="0"/>
        <v>14</v>
      </c>
      <c r="BB10" s="129">
        <f t="shared" si="0"/>
        <v>4</v>
      </c>
      <c r="BC10" s="125">
        <f t="shared" si="0"/>
        <v>0</v>
      </c>
      <c r="BD10" s="126">
        <f>IF(ISNUMBER(BA10/AZ10),BA10/AZ10," - ")</f>
        <v>1.5555555555555556</v>
      </c>
      <c r="BE10" s="127">
        <f>IF(ISNUMBER(BB10/BA10),BB10/BA10, " - ")</f>
        <v>0.2857142857142857</v>
      </c>
      <c r="BF10" s="127">
        <f>IF(ISNUMBER(BC10/BA10),BC10/BA10, " - ")</f>
        <v>0</v>
      </c>
      <c r="BG10" s="195">
        <f>IF(ISNUMBER((AY10+AZ10)/BA10),(AY10+AZ10)/BA10," - ")</f>
        <v>1.2857142857142858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1154</v>
      </c>
      <c r="J12" s="182">
        <v>1650</v>
      </c>
      <c r="K12" s="182">
        <v>1405</v>
      </c>
      <c r="L12" s="182">
        <v>1267</v>
      </c>
      <c r="M12" s="182">
        <v>516</v>
      </c>
      <c r="N12" s="182">
        <v>106</v>
      </c>
      <c r="O12" s="180">
        <v>197</v>
      </c>
      <c r="P12" s="182">
        <v>498</v>
      </c>
      <c r="Q12" s="182">
        <v>282</v>
      </c>
      <c r="R12" s="182">
        <v>2004</v>
      </c>
      <c r="S12" s="182">
        <v>1129</v>
      </c>
      <c r="T12" s="182">
        <v>2016</v>
      </c>
      <c r="U12" s="182">
        <v>1991</v>
      </c>
      <c r="V12" s="182">
        <v>1154</v>
      </c>
      <c r="W12" s="182">
        <v>617</v>
      </c>
      <c r="X12" s="188">
        <v>323</v>
      </c>
      <c r="Y12" s="190">
        <v>18</v>
      </c>
      <c r="Z12" s="180">
        <v>51</v>
      </c>
      <c r="AA12" s="180">
        <v>35</v>
      </c>
      <c r="AB12" s="180">
        <v>34</v>
      </c>
      <c r="AC12" s="182">
        <v>0</v>
      </c>
      <c r="AD12" s="182">
        <v>0</v>
      </c>
      <c r="AE12" s="182">
        <v>0</v>
      </c>
      <c r="AF12" s="188">
        <v>0</v>
      </c>
      <c r="AG12" s="201">
        <v>33</v>
      </c>
      <c r="AH12" s="182">
        <v>52</v>
      </c>
      <c r="AI12" s="182">
        <v>67</v>
      </c>
      <c r="AJ12" s="202">
        <v>18</v>
      </c>
      <c r="AK12" s="181">
        <v>0</v>
      </c>
      <c r="AL12" s="182">
        <v>0</v>
      </c>
      <c r="AM12" s="182">
        <v>0</v>
      </c>
      <c r="AN12" s="188">
        <v>0</v>
      </c>
      <c r="AO12" s="258">
        <v>3</v>
      </c>
      <c r="AP12" s="154">
        <v>3</v>
      </c>
      <c r="AQ12" s="154">
        <v>3</v>
      </c>
      <c r="AR12" s="153">
        <v>3</v>
      </c>
      <c r="AS12" s="339" t="s">
        <v>794</v>
      </c>
      <c r="AT12" s="202"/>
      <c r="AU12" s="201"/>
      <c r="AV12" s="202"/>
      <c r="AW12" s="201"/>
      <c r="AX12" s="202"/>
      <c r="AY12" s="126">
        <f t="shared" si="1"/>
        <v>1162</v>
      </c>
      <c r="AZ12" s="127">
        <f t="shared" si="1"/>
        <v>2068</v>
      </c>
      <c r="BA12" s="127">
        <f t="shared" si="1"/>
        <v>2058</v>
      </c>
      <c r="BB12" s="127">
        <f t="shared" si="1"/>
        <v>1172</v>
      </c>
      <c r="BC12" s="125">
        <f>IF(ISNUMBER(X12),X12," - ")</f>
        <v>323</v>
      </c>
      <c r="BD12" s="126">
        <f t="shared" si="2"/>
        <v>0.99516441005802703</v>
      </c>
      <c r="BE12" s="127">
        <f t="shared" si="3"/>
        <v>0.56948493683187562</v>
      </c>
      <c r="BF12" s="127">
        <f t="shared" si="4"/>
        <v>0.15694849368318756</v>
      </c>
      <c r="BG12" s="195">
        <f t="shared" si="5"/>
        <v>1.5694849368318755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1158</v>
      </c>
      <c r="J13" s="183">
        <f t="shared" si="6"/>
        <v>1657</v>
      </c>
      <c r="K13" s="183">
        <f t="shared" si="6"/>
        <v>1416</v>
      </c>
      <c r="L13" s="183">
        <f t="shared" si="6"/>
        <v>1267</v>
      </c>
      <c r="M13" s="183">
        <f t="shared" si="6"/>
        <v>516</v>
      </c>
      <c r="N13" s="183">
        <f t="shared" si="6"/>
        <v>106</v>
      </c>
      <c r="O13" s="183">
        <f t="shared" si="6"/>
        <v>197</v>
      </c>
      <c r="P13" s="183">
        <f t="shared" si="6"/>
        <v>498</v>
      </c>
      <c r="Q13" s="183">
        <f t="shared" si="6"/>
        <v>282</v>
      </c>
      <c r="R13" s="183">
        <f t="shared" si="6"/>
        <v>2004</v>
      </c>
      <c r="S13" s="183">
        <f t="shared" si="6"/>
        <v>1138</v>
      </c>
      <c r="T13" s="183">
        <f t="shared" si="6"/>
        <v>2025</v>
      </c>
      <c r="U13" s="183">
        <f t="shared" si="6"/>
        <v>2005</v>
      </c>
      <c r="V13" s="183">
        <f t="shared" si="6"/>
        <v>1158</v>
      </c>
      <c r="W13" s="183">
        <f t="shared" si="6"/>
        <v>617</v>
      </c>
      <c r="X13" s="183">
        <f t="shared" si="6"/>
        <v>323</v>
      </c>
      <c r="Y13" s="183">
        <f t="shared" si="6"/>
        <v>18</v>
      </c>
      <c r="Z13" s="183">
        <f t="shared" si="6"/>
        <v>51</v>
      </c>
      <c r="AA13" s="183">
        <f t="shared" si="6"/>
        <v>35</v>
      </c>
      <c r="AB13" s="183">
        <f t="shared" si="6"/>
        <v>34</v>
      </c>
      <c r="AC13" s="183">
        <f t="shared" si="6"/>
        <v>0</v>
      </c>
      <c r="AD13" s="183">
        <f t="shared" si="6"/>
        <v>0</v>
      </c>
      <c r="AE13" s="183">
        <f t="shared" si="6"/>
        <v>0</v>
      </c>
      <c r="AF13" s="183">
        <f>SUBTOTAL(9,AF9:AF12)</f>
        <v>0</v>
      </c>
      <c r="AG13" s="183">
        <f t="shared" ref="AG13:AT13" si="7">SUBTOTAL(9,AG8:AG12)</f>
        <v>33</v>
      </c>
      <c r="AH13" s="183">
        <f t="shared" si="7"/>
        <v>52</v>
      </c>
      <c r="AI13" s="183">
        <f t="shared" si="7"/>
        <v>67</v>
      </c>
      <c r="AJ13" s="183">
        <f t="shared" si="7"/>
        <v>18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1171</v>
      </c>
      <c r="AZ13" s="183">
        <f>SUBTOTAL(9,AZ8:AZ12)</f>
        <v>2077</v>
      </c>
      <c r="BA13" s="183">
        <f>SUBTOTAL(9,BA8:BA12)</f>
        <v>2072</v>
      </c>
      <c r="BB13" s="183">
        <f>SUBTOTAL(9,BB8:BB12)</f>
        <v>1176</v>
      </c>
      <c r="BC13" s="183">
        <f>SUBTOTAL(9,BC8:BC12)</f>
        <v>323</v>
      </c>
      <c r="BD13" s="204">
        <f>IF(ISNUMBER(BA13/AZ13),BA13/AZ13," - ")</f>
        <v>0.99759268175252769</v>
      </c>
      <c r="BE13" s="205">
        <f>IF(ISNUMBER(BB13/BA13),BB13/BA13, " - ")</f>
        <v>0.56756756756756754</v>
      </c>
      <c r="BF13" s="205">
        <f>IF(ISNUMBER(BC13/BA13),BC13/BA13, " - ")</f>
        <v>0.15588803088803088</v>
      </c>
      <c r="BG13" s="206">
        <f>IF(ISNUMBER((AY13+AZ13)/BA13),(AY13+AZ13)/BA13," - ")</f>
        <v>1.5675675675675675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673</v>
      </c>
      <c r="J16" s="182">
        <v>2659</v>
      </c>
      <c r="K16" s="182">
        <v>2422</v>
      </c>
      <c r="L16" s="182">
        <v>912</v>
      </c>
      <c r="M16" s="182">
        <v>218</v>
      </c>
      <c r="N16" s="182">
        <v>1663</v>
      </c>
      <c r="O16" s="180">
        <v>0</v>
      </c>
      <c r="P16" s="182">
        <v>37</v>
      </c>
      <c r="Q16" s="182">
        <v>33</v>
      </c>
      <c r="R16" s="182">
        <v>113</v>
      </c>
      <c r="S16" s="182">
        <v>784</v>
      </c>
      <c r="T16" s="182">
        <v>2947</v>
      </c>
      <c r="U16" s="182">
        <v>3068</v>
      </c>
      <c r="V16" s="182">
        <v>673</v>
      </c>
      <c r="W16" s="182">
        <v>294</v>
      </c>
      <c r="X16" s="188">
        <v>2006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784</v>
      </c>
      <c r="AZ16" s="127">
        <f t="shared" si="9"/>
        <v>2947</v>
      </c>
      <c r="BA16" s="127">
        <f t="shared" si="9"/>
        <v>3068</v>
      </c>
      <c r="BB16" s="127">
        <f t="shared" si="9"/>
        <v>673</v>
      </c>
      <c r="BC16" s="125">
        <f>IF(ISNUMBER(W16),W16," - ")</f>
        <v>294</v>
      </c>
      <c r="BD16" s="126">
        <f t="shared" ref="BD16" si="11">IF(ISNUMBER(BA16/AZ16),BA16/AZ16," - ")</f>
        <v>1.0410587037665422</v>
      </c>
      <c r="BE16" s="127">
        <f t="shared" ref="BE16" si="12">IF(ISNUMBER(BB16/BA16),BB16/BA16, " - ")</f>
        <v>0.21936114732724901</v>
      </c>
      <c r="BF16" s="127">
        <f t="shared" ref="BF16" si="13">IF(ISNUMBER(BC16/BA16),BC16/BA16, " - ")</f>
        <v>9.5827900912646674E-2</v>
      </c>
      <c r="BG16" s="195">
        <f t="shared" si="10"/>
        <v>1.2161016949152543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v>
      </c>
      <c r="J17" s="182">
        <v>194</v>
      </c>
      <c r="K17" s="182">
        <v>164</v>
      </c>
      <c r="L17" s="182">
        <v>55</v>
      </c>
      <c r="M17" s="182">
        <v>17</v>
      </c>
      <c r="N17" s="182">
        <v>124</v>
      </c>
      <c r="O17" s="182">
        <v>0</v>
      </c>
      <c r="P17" s="182">
        <v>0</v>
      </c>
      <c r="Q17" s="182">
        <v>0</v>
      </c>
      <c r="R17" s="182">
        <v>0</v>
      </c>
      <c r="S17" s="182">
        <v>30</v>
      </c>
      <c r="T17" s="182">
        <v>203</v>
      </c>
      <c r="U17" s="182">
        <v>208</v>
      </c>
      <c r="V17" s="182">
        <v>25</v>
      </c>
      <c r="W17" s="182">
        <v>39</v>
      </c>
      <c r="X17" s="188">
        <v>172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203</v>
      </c>
      <c r="BA17" s="129">
        <f t="shared" si="14"/>
        <v>208</v>
      </c>
      <c r="BB17" s="129">
        <f t="shared" si="14"/>
        <v>25</v>
      </c>
      <c r="BC17" s="125">
        <f>IF(ISNUMBER(W17),W17," - ")</f>
        <v>39</v>
      </c>
      <c r="BD17" s="126">
        <f>IF(ISNUMBER(BA17/AZ17),BA17/AZ17," - ")</f>
        <v>1.0246305418719213</v>
      </c>
      <c r="BE17" s="127">
        <f>IF(ISNUMBER(BB17/BA17),BB17/BA17, " - ")</f>
        <v>0.1201923076923077</v>
      </c>
      <c r="BF17" s="127">
        <f>IF(ISNUMBER(BC17/BA17),BC17/BA17, " - ")</f>
        <v>0.1875</v>
      </c>
      <c r="BG17" s="195">
        <f>IF(ISNUMBER((AY17+AZ17)/BA17),(AY17+AZ17)/BA17," - ")</f>
        <v>1.1201923076923077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698</v>
      </c>
      <c r="J18" s="183">
        <f t="shared" si="15"/>
        <v>2853</v>
      </c>
      <c r="K18" s="183">
        <f t="shared" si="15"/>
        <v>2586</v>
      </c>
      <c r="L18" s="183">
        <f t="shared" si="15"/>
        <v>967</v>
      </c>
      <c r="M18" s="183">
        <f t="shared" si="15"/>
        <v>235</v>
      </c>
      <c r="N18" s="183">
        <f t="shared" si="15"/>
        <v>1787</v>
      </c>
      <c r="O18" s="183">
        <f t="shared" si="15"/>
        <v>0</v>
      </c>
      <c r="P18" s="183">
        <f t="shared" si="15"/>
        <v>37</v>
      </c>
      <c r="Q18" s="183">
        <f t="shared" si="15"/>
        <v>33</v>
      </c>
      <c r="R18" s="183">
        <f t="shared" si="15"/>
        <v>113</v>
      </c>
      <c r="S18" s="183">
        <f t="shared" si="15"/>
        <v>814</v>
      </c>
      <c r="T18" s="183">
        <f t="shared" si="15"/>
        <v>3150</v>
      </c>
      <c r="U18" s="183">
        <f t="shared" si="15"/>
        <v>3276</v>
      </c>
      <c r="V18" s="183">
        <f t="shared" si="15"/>
        <v>698</v>
      </c>
      <c r="W18" s="183">
        <f t="shared" si="15"/>
        <v>333</v>
      </c>
      <c r="X18" s="183">
        <f t="shared" si="15"/>
        <v>2178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814</v>
      </c>
      <c r="AZ18" s="183">
        <f>SUBTOTAL(9,AZ14:AZ17)</f>
        <v>3150</v>
      </c>
      <c r="BA18" s="183">
        <f>SUBTOTAL(9,BA14:BA17)</f>
        <v>3276</v>
      </c>
      <c r="BB18" s="183">
        <f>SUBTOTAL(9,BB14:BB17)</f>
        <v>698</v>
      </c>
      <c r="BC18" s="183">
        <f>SUBTOTAL(9,BC14:BC17)</f>
        <v>333</v>
      </c>
      <c r="BD18" s="204">
        <f>IF(ISNUMBER(BA18/AZ18),BA18/AZ18," - ")</f>
        <v>1.04</v>
      </c>
      <c r="BE18" s="205">
        <f>IF(ISNUMBER(BB18/BA18),BB18/BA18, " - ")</f>
        <v>0.21306471306471306</v>
      </c>
      <c r="BF18" s="205">
        <f>IF(ISNUMBER(BC18/BA18),BC18/BA18, " - ")</f>
        <v>0.10164835164835165</v>
      </c>
      <c r="BG18" s="206">
        <f>IF(ISNUMBER((AY18+AZ18)/BA18),(AY18+AZ18)/BA18," - ")</f>
        <v>1.2100122100122099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1856</v>
      </c>
      <c r="J19" s="134">
        <f t="shared" si="18"/>
        <v>4510</v>
      </c>
      <c r="K19" s="134">
        <f t="shared" si="18"/>
        <v>4002</v>
      </c>
      <c r="L19" s="134">
        <f t="shared" si="18"/>
        <v>2234</v>
      </c>
      <c r="M19" s="134">
        <f t="shared" si="18"/>
        <v>751</v>
      </c>
      <c r="N19" s="134">
        <f t="shared" si="18"/>
        <v>1893</v>
      </c>
      <c r="O19" s="134">
        <f t="shared" si="18"/>
        <v>197</v>
      </c>
      <c r="P19" s="134">
        <f t="shared" si="18"/>
        <v>535</v>
      </c>
      <c r="Q19" s="134">
        <f t="shared" si="18"/>
        <v>315</v>
      </c>
      <c r="R19" s="134">
        <f t="shared" si="18"/>
        <v>2117</v>
      </c>
      <c r="S19" s="134">
        <f t="shared" si="18"/>
        <v>1952</v>
      </c>
      <c r="T19" s="134">
        <f t="shared" si="18"/>
        <v>5175</v>
      </c>
      <c r="U19" s="134">
        <f t="shared" si="18"/>
        <v>5281</v>
      </c>
      <c r="V19" s="134">
        <f t="shared" si="18"/>
        <v>1856</v>
      </c>
      <c r="W19" s="134">
        <f t="shared" si="18"/>
        <v>950</v>
      </c>
      <c r="X19" s="134">
        <f t="shared" si="18"/>
        <v>2501</v>
      </c>
      <c r="Y19" s="134">
        <f t="shared" si="18"/>
        <v>18</v>
      </c>
      <c r="Z19" s="134">
        <f t="shared" si="18"/>
        <v>51</v>
      </c>
      <c r="AA19" s="134">
        <f t="shared" si="18"/>
        <v>35</v>
      </c>
      <c r="AB19" s="134">
        <f t="shared" si="18"/>
        <v>34</v>
      </c>
      <c r="AC19" s="134">
        <f t="shared" si="18"/>
        <v>0</v>
      </c>
      <c r="AD19" s="134">
        <f t="shared" si="18"/>
        <v>0</v>
      </c>
      <c r="AE19" s="134">
        <f t="shared" si="18"/>
        <v>0</v>
      </c>
      <c r="AF19" s="134">
        <f t="shared" si="18"/>
        <v>0</v>
      </c>
      <c r="AG19" s="134">
        <f t="shared" si="18"/>
        <v>33</v>
      </c>
      <c r="AH19" s="134">
        <f t="shared" si="18"/>
        <v>52</v>
      </c>
      <c r="AI19" s="134">
        <f t="shared" si="18"/>
        <v>67</v>
      </c>
      <c r="AJ19" s="134">
        <f t="shared" si="18"/>
        <v>18</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1985</v>
      </c>
      <c r="AZ19" s="134">
        <f>SUBTOTAL(9,AZ9:AZ18)</f>
        <v>5227</v>
      </c>
      <c r="BA19" s="134">
        <f>SUBTOTAL(9,BA9:BA18)</f>
        <v>5348</v>
      </c>
      <c r="BB19" s="134">
        <f>SUBTOTAL(9,BB9:BB18)</f>
        <v>1874</v>
      </c>
      <c r="BC19" s="135">
        <f>SUBTOTAL(9,BC9:BC18)</f>
        <v>656</v>
      </c>
      <c r="BD19" s="212">
        <f>IF(ISNUMBER(BA19/AZ19),BA19/AZ19," - ")</f>
        <v>1.0231490338626363</v>
      </c>
      <c r="BE19" s="209">
        <f>IF(ISNUMBER(BB19/BA19),BB19/BA19, " - ")</f>
        <v>0.35041136873597606</v>
      </c>
      <c r="BF19" s="209">
        <f>IF(ISNUMBER(BC19/BA19),BC19/BA19, " - ")</f>
        <v>0.12266267763649963</v>
      </c>
      <c r="BG19" s="135">
        <f>IF(ISNUMBER((AY19+AZ19)/BA19),(AY19+AZ19)/BA19," - ")</f>
        <v>1.3485415108451757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qiTnd4AIVZHG+lngs2gwBozVRGl9rseTWOZhUU7g7LOv7MeD6/yAwQ3/68FB65JqohY2DfaUkYMqEag1fKD3Q==" saltValue="YYRrjIYkzIgvi2uDSSCD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6m+3E3A3SINwktFMST2bgqbdEgI1fZ1ec/szDAfCUViJq39FgSnFdV0aN8KbtXP19e3QiRih87kqFlbO7fixg==" saltValue="zlMqgjlLLlqUy7PUe3XQD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PUERTO DE LA CRUZ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1.5714285714285714</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v>
      </c>
      <c r="O12" s="333"/>
      <c r="P12" s="333"/>
      <c r="Q12" s="225">
        <f>IF(ISNUMBER(Datos!P12),Datos!P12,0)</f>
        <v>498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v>
      </c>
      <c r="AI12" s="333" t="str">
        <f>IF(ISNUMBER(Datos!CD12),Datos!CD12,"-")</f>
        <v>-</v>
      </c>
      <c r="AJ12" s="333" t="str">
        <f>IF(ISNUMBER(Datos!EN12),Datos!EN12," - ")</f>
        <v xml:space="preserve"> - </v>
      </c>
      <c r="AK12" s="333"/>
      <c r="AL12" s="478"/>
      <c r="AM12" s="334">
        <f>IF(ISNUMBER(Datos!R12),Datos!R12," - ")</f>
        <v>2004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516</v>
      </c>
      <c r="BD12" s="228">
        <f>IF(ISNUMBER(Datos!N12),Datos!N12," - ")</f>
        <v>106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0.84656084656084651</v>
      </c>
      <c r="BH12" s="259">
        <f>IF(ISNUMBER(((IF(J_V="SI",Datos!L12/Datos!K12,(Datos!L12+Datos!AB12)/(Datos!K12+Datos!AA12)))*11)/factor_trimestre),((IF(J_V="SI",Datos!L12/Datos!K12,(Datos!L12+Datos!AB12)/(Datos!K12+Datos!AA12)))*11)/factor_trimestre," - ")</f>
        <v>9.938194444444445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0.12080536912751678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51</v>
      </c>
      <c r="O13" s="899">
        <f t="shared" si="0"/>
        <v>0</v>
      </c>
      <c r="P13" s="899">
        <f t="shared" si="0"/>
        <v>0</v>
      </c>
      <c r="Q13" s="898">
        <f t="shared" si="0"/>
        <v>498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282</v>
      </c>
      <c r="AD13" s="898">
        <f t="shared" si="1"/>
        <v>0</v>
      </c>
      <c r="AE13" s="898">
        <f t="shared" si="1"/>
        <v>0</v>
      </c>
      <c r="AF13" s="898">
        <f t="shared" si="1"/>
        <v>0</v>
      </c>
      <c r="AG13" s="898">
        <f t="shared" si="1"/>
        <v>0</v>
      </c>
      <c r="AH13" s="898">
        <f t="shared" si="1"/>
        <v>34</v>
      </c>
      <c r="AI13" s="898">
        <f t="shared" si="1"/>
        <v>0</v>
      </c>
      <c r="AJ13" s="898">
        <f t="shared" si="1"/>
        <v>0</v>
      </c>
      <c r="AK13" s="898">
        <f t="shared" si="1"/>
        <v>0</v>
      </c>
      <c r="AL13" s="898">
        <f t="shared" si="1"/>
        <v>0</v>
      </c>
      <c r="AM13" s="898">
        <f t="shared" si="1"/>
        <v>2004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516</v>
      </c>
      <c r="BD13" s="898">
        <f t="shared" si="1"/>
        <v>106</v>
      </c>
      <c r="BE13" s="898">
        <f t="shared" si="1"/>
        <v>0</v>
      </c>
      <c r="BF13" s="898">
        <f t="shared" si="1"/>
        <v>0</v>
      </c>
      <c r="BG13" s="898">
        <f>IF(ISNUMBER(Datos!K13/Datos!J13),Datos!K13/Datos!J13," - ")</f>
        <v>0.85455642727821368</v>
      </c>
      <c r="BH13" s="902">
        <f>IF(ISNUMBER(((Datos!L13/Datos!K13)*11)/factor_trimestre),((Datos!L13/Datos!K13)*11)/factor_trimestre," - ")</f>
        <v>9.8425141242937855</v>
      </c>
      <c r="BI13" s="898">
        <f>IF(ISNUMBER('Resol  Asuntos'!D13/NºAsuntos!G13),'Resol  Asuntos'!D13/NºAsuntos!G13," - ")</f>
        <v>0.3556168159889731</v>
      </c>
      <c r="BJ13" s="898" t="str">
        <f>IF(ISNUMBER(Datos!CI13/Datos!CJ13),Datos!CI13/Datos!CJ13," - ")</f>
        <v xml:space="preserve"> - </v>
      </c>
      <c r="BK13" s="898">
        <f>SUBTOTAL(9,BK8:BK12)</f>
        <v>0</v>
      </c>
      <c r="BL13" s="898">
        <f>IF(ISNUMBER((I13-AB13+L13)/(F13)),(I13-AB13+L13)/(F13)," - ")</f>
        <v>-2.75</v>
      </c>
      <c r="BM13" s="903">
        <f>SUBTOTAL(9,BM9:BM12)</f>
        <v>0.12080536912751678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675</v>
      </c>
      <c r="G16" s="597">
        <f>IF(ISNUMBER(IF(D_I="SI",Datos!I16,Datos!I16+Datos!AC16)),IF(D_I="SI",Datos!I16,Datos!I16+Datos!AC16)," - ")</f>
        <v>673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2422</v>
      </c>
      <c r="AC16" s="225">
        <f>IF(ISNUMBER(Datos!Q16),Datos!Q16," - ")</f>
        <v>33</v>
      </c>
      <c r="AD16" s="333"/>
      <c r="AE16" s="483"/>
      <c r="AF16" s="595">
        <f>IF(ISNUMBER(IF(D_I="SI",Datos!L16,Datos!L16+Datos!AF16)),IF(D_I="SI",Datos!L16,Datos!L16+Datos!AF16)," - ")</f>
        <v>912</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218</v>
      </c>
      <c r="BD16" s="228">
        <f>IF(ISNUMBER(Datos!N16),Datos!N16," - ")</f>
        <v>1663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0.91086874764949233</v>
      </c>
      <c r="BH16" s="259">
        <f>IF(ISNUMBER(((IF(D_I="SI",Datos!L16/Datos!K16,(Datos!L16+Datos!AF16)/(Datos!K16+Datos!AE16)))*11)/factor_trimestre),((IF(D_I="SI",Datos!L16/Datos!K16,(Datos!L16+Datos!AF16)/(Datos!K16+Datos!AE16)))*11)/factor_trimestre," - ")</f>
        <v>4.1420313790255987</v>
      </c>
      <c r="BI16" s="242">
        <f>IF(ISNUMBER('Resol  Asuntos'!D16/NºAsuntos!G16),'Resol  Asuntos'!D16/NºAsuntos!G16," - ")</f>
        <v>9.0008257638315436E-2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164</v>
      </c>
      <c r="AC17" s="225">
        <f>IF(ISNUMBER(Datos!Q17),Datos!Q17," - ")</f>
        <v>0</v>
      </c>
      <c r="AD17" s="333"/>
      <c r="AE17" s="483"/>
      <c r="AF17" s="331">
        <f>IF(ISNUMBER(Datos!L17),Datos!L17,"-")</f>
        <v>55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124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0.84536082474226804</v>
      </c>
      <c r="BH17" s="259">
        <f>IF(ISNUMBER(((IF(D_I="SI",Datos!L17/Datos!K17,(Datos!L17+Datos!AF17)/(Datos!K17+Datos!AE17)))*11)/factor_trimestre),((IF(D_I="SI",Datos!L17/Datos!K17,(Datos!L17+Datos!AF17)/(Datos!K17+Datos!AE17)))*11)/factor_trimestre," - ")</f>
        <v>3.6890243902439028</v>
      </c>
      <c r="BI17" s="242">
        <f>IF(ISNUMBER('Resol  Asuntos'!D17/NºAsuntos!G17),'Resol  Asuntos'!D17/NºAsuntos!G17," - ")</f>
        <v>0.10365853658536585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675</v>
      </c>
      <c r="G18" s="897">
        <f>SUBTOTAL(9,G15:G17)</f>
        <v>698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2586</v>
      </c>
      <c r="AC18" s="898">
        <f t="shared" si="4"/>
        <v>33</v>
      </c>
      <c r="AD18" s="898">
        <f t="shared" si="4"/>
        <v>0</v>
      </c>
      <c r="AE18" s="898">
        <f t="shared" si="4"/>
        <v>0</v>
      </c>
      <c r="AF18" s="898">
        <f t="shared" si="4"/>
        <v>967</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235</v>
      </c>
      <c r="BD18" s="898">
        <f t="shared" si="4"/>
        <v>1787</v>
      </c>
      <c r="BE18" s="898">
        <f t="shared" si="4"/>
        <v>0</v>
      </c>
      <c r="BF18" s="898">
        <f t="shared" si="4"/>
        <v>0</v>
      </c>
      <c r="BG18" s="898">
        <f>IF(ISNUMBER(Datos!K18/Datos!J18),Datos!K18/Datos!J18," - ")</f>
        <v>0.90641430073606732</v>
      </c>
      <c r="BH18" s="902">
        <f>IF(ISNUMBER(((Datos!L18/Datos!K18)*11)/factor_trimestre),((Datos!L18/Datos!K18)*11)/factor_trimestre," - ")</f>
        <v>4.1133023975251355</v>
      </c>
      <c r="BI18" s="898">
        <f>SUBTOTAL(9,BI15:BI17)</f>
        <v>0.19366679422368127</v>
      </c>
      <c r="BJ18" s="898">
        <f>SUBTOTAL(9,BJ15:BJ17)</f>
        <v>0</v>
      </c>
      <c r="BK18" s="898">
        <f>SUBTOTAL(9,BK15:BK17)</f>
        <v>0</v>
      </c>
      <c r="BL18" s="898">
        <f>IF(ISNUMBER((I18-AB18+L18)/(F18)),(I18-AB18+L18)/(F18)," - ")</f>
        <v>-3.8311111111111109</v>
      </c>
      <c r="BM18" s="904">
        <f>IF(ISNUMBER((Datos!P18-Datos!Q18)/(Datos!R18-Datos!P18+Datos!Q18)),(Datos!P18-Datos!Q18)/(Datos!R18-Datos!P18+Datos!Q18)," - ")</f>
        <v>3.669724770642202E-2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679</v>
      </c>
      <c r="G19" s="819">
        <f t="shared" si="6"/>
        <v>702</v>
      </c>
      <c r="H19" s="821">
        <f t="shared" si="6"/>
        <v>0</v>
      </c>
      <c r="I19" s="819">
        <f t="shared" si="6"/>
        <v>0</v>
      </c>
      <c r="J19" s="821">
        <f t="shared" si="6"/>
        <v>0</v>
      </c>
      <c r="K19" s="821">
        <f t="shared" si="6"/>
        <v>0</v>
      </c>
      <c r="L19" s="880">
        <f t="shared" si="6"/>
        <v>0</v>
      </c>
      <c r="M19" s="880">
        <f t="shared" si="6"/>
        <v>0</v>
      </c>
      <c r="N19" s="880">
        <f t="shared" si="6"/>
        <v>51</v>
      </c>
      <c r="O19" s="880">
        <f t="shared" si="6"/>
        <v>0</v>
      </c>
      <c r="P19" s="880">
        <f t="shared" si="6"/>
        <v>0</v>
      </c>
      <c r="Q19" s="821">
        <f t="shared" si="6"/>
        <v>535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2597</v>
      </c>
      <c r="AC19" s="820">
        <f t="shared" si="7"/>
        <v>315</v>
      </c>
      <c r="AD19" s="820">
        <f t="shared" si="7"/>
        <v>0</v>
      </c>
      <c r="AE19" s="820">
        <f t="shared" si="7"/>
        <v>0</v>
      </c>
      <c r="AF19" s="827">
        <f t="shared" si="7"/>
        <v>967</v>
      </c>
      <c r="AG19" s="827">
        <f t="shared" si="7"/>
        <v>0</v>
      </c>
      <c r="AH19" s="827">
        <f t="shared" si="7"/>
        <v>34</v>
      </c>
      <c r="AI19" s="827">
        <f t="shared" si="7"/>
        <v>0</v>
      </c>
      <c r="AJ19" s="820">
        <f t="shared" si="7"/>
        <v>0</v>
      </c>
      <c r="AK19" s="827">
        <f t="shared" si="7"/>
        <v>0</v>
      </c>
      <c r="AL19" s="827">
        <f t="shared" si="7"/>
        <v>0</v>
      </c>
      <c r="AM19" s="827">
        <f t="shared" si="7"/>
        <v>2117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751</v>
      </c>
      <c r="BD19" s="819">
        <f t="shared" si="7"/>
        <v>1893</v>
      </c>
      <c r="BE19" s="819">
        <f t="shared" si="7"/>
        <v>0</v>
      </c>
      <c r="BF19" s="829">
        <f t="shared" si="7"/>
        <v>0</v>
      </c>
      <c r="BG19" s="914">
        <f>IF(ISNUMBER(Datos!K19/Datos!J19),Datos!K19/Datos!J19," - ")</f>
        <v>0.88736141906873611</v>
      </c>
      <c r="BH19" s="914">
        <f>IF(ISNUMBER(((Datos!L19/Datos!K19)*11)/factor_trimestre),((Datos!L19/Datos!K19)*11)/factor_trimestre," - ")</f>
        <v>6.1404297851074467</v>
      </c>
      <c r="BI19" s="812">
        <f>IF(ISNUMBER(Datos!J19/Datos!I19),Datos!J19/Datos!I19," - ")</f>
        <v>2.4299568965517242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-3.8247422680412373</v>
      </c>
      <c r="BM19" s="888">
        <f>IF(ISNUMBER((Datos!P19-Datos!Q19+R19)/(Datos!R19-Datos!P19+Datos!Q19-R19)),(Datos!P19-Datos!Q19+R19)/(Datos!R19-Datos!P19+Datos!Q19-R19)," - ")</f>
        <v>0.11597258829731154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387.40203062623891</v>
      </c>
      <c r="G21" s="551">
        <f>IF(ISNUMBER(STDEV(G8:G18)),STDEV(G8:G18),"-")</f>
        <v>369.64401794158664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1340.2509839578556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227.83736889866566</v>
      </c>
      <c r="BD21" s="550"/>
      <c r="BE21" s="550">
        <f>IF(ISNUMBER(STDEV(BE8:BE18)),STDEV(BE8:BE18),"-")</f>
        <v>0</v>
      </c>
      <c r="BF21" s="555">
        <f>IF(ISNUMBER(STDEV(BF8:BF18)),STDEV(BF8:BF18),"-")</f>
        <v>0</v>
      </c>
      <c r="BG21" s="774">
        <f>IF(ISNUMBER(STDEV(BG8:BG18)),STDEV(BG8:BG18),"-")</f>
        <v>0.28675560834114594</v>
      </c>
      <c r="BH21" s="775">
        <f>IF(ISNUMBER(STDEV(BH8:BH18)),STDEV(BH8:BH18),"-")</f>
        <v>3.8879488521234404</v>
      </c>
      <c r="BI21" s="248">
        <f>IF(ISNUMBER(STDEV(BI8:BI18)),STDEV(BI8:BI18),"-")</f>
        <v>0.12223324668584679</v>
      </c>
      <c r="BJ21" s="229" t="str">
        <f>IF(ISNUMBER(BL21/BM21),BL21/BM21," - ")</f>
        <v xml:space="preserve"> - </v>
      </c>
      <c r="BK21" s="574"/>
      <c r="BL21" s="558">
        <f>IF(ISNUMBER(STDEV(BL8:BL18)),STDEV(BL8:BL18),"-")</f>
        <v>0.76446099788278743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U9Nhs7u6MWFmkH/1RLxPk7cGbCJ4ONSU8J6bOCcG7ByWrzHHkK3ufgoYf+g4K5GRid4xAcfF0IJea1DtnN8sA==" saltValue="owhEadpFs8dWujmxq9Vh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PUERTO DE LA CRUZ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282</v>
      </c>
      <c r="AA12" s="331" t="str">
        <f>IF(ISNUMBER(IF(J_V="SI",Datos!L12,Datos!L12+Datos!AB12)-IF(Monitorios="SI",Datos!CD12,0)),
                          IF(J_V="SI",Datos!L12,Datos!L12+Datos!AB12)-IF(Monitorios="SI",Datos!CD12,0),
                          " - ")</f>
        <v xml:space="preserve"> - </v>
      </c>
      <c r="AB12" s="333"/>
      <c r="AC12" s="333"/>
      <c r="AD12" s="483"/>
      <c r="AE12" s="483">
        <f>IF(ISNUMBER(Datos!R12),Datos!R12," - ")</f>
        <v>2004</v>
      </c>
      <c r="AF12" s="228" t="str">
        <f>IF(ISNUMBER(Datos!BV12),Datos!BV12," - ")</f>
        <v xml:space="preserve"> - </v>
      </c>
      <c r="AG12" s="224" t="str">
        <f>IF(ISNUMBER(Datos!DV12),Datos!DV12," - ")</f>
        <v xml:space="preserve"> - </v>
      </c>
      <c r="AH12" s="297"/>
      <c r="AI12" s="226"/>
      <c r="AJ12" s="224">
        <f>IF(ISNUMBER(Datos!M12),Datos!M12," - ")</f>
        <v>516</v>
      </c>
      <c r="AK12" s="228">
        <f>IF(ISNUMBER(Datos!N12),Datos!N12," - ")</f>
        <v>106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9.938194444444445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0.12080536912751678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498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282</v>
      </c>
      <c r="AA13" s="899">
        <f t="shared" si="2"/>
        <v>0</v>
      </c>
      <c r="AB13" s="899">
        <f t="shared" si="2"/>
        <v>0</v>
      </c>
      <c r="AC13" s="899">
        <f t="shared" si="2"/>
        <v>0</v>
      </c>
      <c r="AD13" s="899">
        <f t="shared" si="2"/>
        <v>0</v>
      </c>
      <c r="AE13" s="899">
        <f t="shared" si="2"/>
        <v>2004</v>
      </c>
      <c r="AF13" s="907">
        <f t="shared" si="2"/>
        <v>0</v>
      </c>
      <c r="AG13" s="907">
        <f t="shared" si="2"/>
        <v>0</v>
      </c>
      <c r="AH13" s="907">
        <f t="shared" si="2"/>
        <v>0</v>
      </c>
      <c r="AI13" s="907">
        <f t="shared" si="2"/>
        <v>0</v>
      </c>
      <c r="AJ13" s="907">
        <f t="shared" si="2"/>
        <v>516</v>
      </c>
      <c r="AK13" s="907">
        <f t="shared" si="2"/>
        <v>106</v>
      </c>
      <c r="AL13" s="907">
        <f t="shared" si="2"/>
        <v>0</v>
      </c>
      <c r="AM13" s="907">
        <f t="shared" si="2"/>
        <v>0</v>
      </c>
      <c r="AN13" s="907">
        <f t="shared" si="2"/>
        <v>0</v>
      </c>
      <c r="AO13" s="903">
        <f>IF(ISNUMBER(((NºAsuntos!I13/NºAsuntos!G13)*11)/factor_trimestre),((NºAsuntos!I13/NºAsuntos!G13)*11)/factor_trimestre," - ")</f>
        <v>9.8628532046864237</v>
      </c>
      <c r="AP13" s="909" t="str">
        <f>IF(ISNUMBER(Datos!CI13/Datos!CJ13),Datos!CI13/Datos!CJ13," - ")</f>
        <v xml:space="preserve"> - </v>
      </c>
      <c r="AQ13" s="927">
        <f t="shared" ref="AQ13:AV13" si="3">SUBTOTAL(9,AQ9:AQ12)</f>
        <v>0</v>
      </c>
      <c r="AR13" s="927">
        <f t="shared" si="3"/>
        <v>0.12080536912751678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675</v>
      </c>
      <c r="G16" s="224">
        <f>IF(ISNUMBER(IF(D_I="SI",Datos!I16,Datos!I16+Datos!AC16)),IF(D_I="SI",Datos!I16,Datos!I16+Datos!AC16)," - ")</f>
        <v>673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2422</v>
      </c>
      <c r="Z16" s="618">
        <f>IF(ISNUMBER(Datos!Q16),Datos!Q16," - ")</f>
        <v>33</v>
      </c>
      <c r="AA16" s="331">
        <f>IF(ISNUMBER(IF(D_I="SI",Datos!L16,Datos!L16+Datos!AF16)),IF(D_I="SI",Datos!L16,Datos!L16+Datos!AF16)," - ")</f>
        <v>912</v>
      </c>
      <c r="AB16" s="333"/>
      <c r="AC16" s="333"/>
      <c r="AD16" s="483"/>
      <c r="AE16" s="483">
        <f>IF(ISNUMBER(Datos!R16),Datos!R16," - ")</f>
        <v>113</v>
      </c>
      <c r="AF16" s="228" t="str">
        <f>IF(ISNUMBER(Datos!BV16),Datos!BV16," - ")</f>
        <v xml:space="preserve"> - </v>
      </c>
      <c r="AG16" s="224"/>
      <c r="AH16" s="297"/>
      <c r="AI16" s="226"/>
      <c r="AJ16" s="224">
        <f>IF(ISNUMBER(Datos!M16),Datos!M16," - ")</f>
        <v>218</v>
      </c>
      <c r="AK16" s="228">
        <f>IF(ISNUMBER(Datos!N16),Datos!N16," - ")</f>
        <v>1663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4.1420313790255987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164</v>
      </c>
      <c r="Z17" s="618">
        <f>IF(ISNUMBER(Datos!Q17),Datos!Q17," - ")</f>
        <v>0</v>
      </c>
      <c r="AA17" s="331">
        <f>IF(ISNUMBER(Datos!L17),Datos!L17,"-")</f>
        <v>55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17</v>
      </c>
      <c r="AK17" s="228">
        <f>IF(ISNUMBER(Datos!N17),Datos!N17," - ")</f>
        <v>124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3.6890243902439028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675</v>
      </c>
      <c r="G18" s="897">
        <f>SUBTOTAL(9,G15:G17)</f>
        <v>698</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2586</v>
      </c>
      <c r="Z18" s="931">
        <f t="shared" si="5"/>
        <v>33</v>
      </c>
      <c r="AA18" s="931">
        <f t="shared" si="5"/>
        <v>967</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235</v>
      </c>
      <c r="AK18" s="931">
        <f t="shared" si="5"/>
        <v>1787</v>
      </c>
      <c r="AL18" s="931">
        <f t="shared" si="5"/>
        <v>0</v>
      </c>
      <c r="AM18" s="931">
        <f t="shared" si="5"/>
        <v>0</v>
      </c>
      <c r="AN18" s="931">
        <f t="shared" si="5"/>
        <v>0</v>
      </c>
      <c r="AO18" s="933">
        <f>IF(ISNUMBER(((NºAsuntos!I18/NºAsuntos!G18)*11)/factor_trimestre),((NºAsuntos!I18/NºAsuntos!G18)*11)/factor_trimestre," - ")</f>
        <v>4.1133023975251355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679</v>
      </c>
      <c r="G19" s="819">
        <f t="shared" si="7"/>
        <v>702</v>
      </c>
      <c r="H19" s="820">
        <f t="shared" si="7"/>
        <v>0</v>
      </c>
      <c r="I19" s="819">
        <f t="shared" si="7"/>
        <v>0</v>
      </c>
      <c r="J19" s="821">
        <f t="shared" si="7"/>
        <v>0</v>
      </c>
      <c r="K19" s="819">
        <f t="shared" si="7"/>
        <v>0</v>
      </c>
      <c r="L19" s="822">
        <f t="shared" si="7"/>
        <v>0</v>
      </c>
      <c r="M19" s="819">
        <f t="shared" si="7"/>
        <v>0</v>
      </c>
      <c r="N19" s="820">
        <f t="shared" si="7"/>
        <v>535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2597</v>
      </c>
      <c r="Z19" s="826">
        <f t="shared" si="8"/>
        <v>315</v>
      </c>
      <c r="AA19" s="827">
        <f t="shared" si="8"/>
        <v>967</v>
      </c>
      <c r="AB19" s="827">
        <f t="shared" si="8"/>
        <v>0</v>
      </c>
      <c r="AC19" s="827">
        <f t="shared" si="8"/>
        <v>0</v>
      </c>
      <c r="AD19" s="828">
        <f t="shared" si="8"/>
        <v>0</v>
      </c>
      <c r="AE19" s="828">
        <f t="shared" si="8"/>
        <v>2117</v>
      </c>
      <c r="AF19" s="829">
        <f t="shared" si="8"/>
        <v>0</v>
      </c>
      <c r="AG19" s="830">
        <f t="shared" si="8"/>
        <v>0</v>
      </c>
      <c r="AH19" s="831">
        <f t="shared" si="8"/>
        <v>0</v>
      </c>
      <c r="AI19" s="829">
        <f t="shared" si="8"/>
        <v>0</v>
      </c>
      <c r="AJ19" s="819">
        <f t="shared" si="8"/>
        <v>751</v>
      </c>
      <c r="AK19" s="819">
        <f t="shared" si="8"/>
        <v>1893</v>
      </c>
      <c r="AL19" s="819">
        <f t="shared" si="8"/>
        <v>0</v>
      </c>
      <c r="AM19" s="832">
        <f t="shared" si="8"/>
        <v>0</v>
      </c>
      <c r="AN19" s="822">
        <f>IF(ISNUMBER(Datos!K19/Datos!J19),Datos!K19/Datos!J19," - ")</f>
        <v>0.88736141906873611</v>
      </c>
      <c r="AO19" s="822">
        <f>IF(ISNUMBER(FIND("06",Criterios!A8,1)),(IF(ISNUMBER(((Datos!R19/Datos!Q19)*11)/factor_trimestre),((Datos!R19/Datos!Q19)*11)/factor_trimestre," - ")),(IF(ISNUMBER(((Datos!L19/Datos!K19)*11)/factor_trimestre),((Datos!L19/Datos!K19)*11)/factor_trimestre," - ")))</f>
        <v>6.1404297851074467</v>
      </c>
      <c r="AP19" s="833" t="str">
        <f>IF(ISNUMBER(Datos!CI19/Datos!CJ19),Datos!CI19/Datos!CJ19," - ")</f>
        <v xml:space="preserve"> - </v>
      </c>
      <c r="AQ19" s="833">
        <f>IF(OR(ISNUMBER(FIND("01",Criterios!A8,1)),ISNUMBER(FIND("02",Criterios!A8,1)),ISNUMBER(FIND("03",Criterios!A8,1)),ISNUMBER(FIND("04",Criterios!A8,1))),(J19-Y19+K19)/(F19-K19),(I19-Y19+K19)/(F19-K19))</f>
        <v>-3.8247422680412373</v>
      </c>
      <c r="AR19" s="833">
        <f>IF(ISNUMBER((Datos!P19-Datos!Q19+O19)/(Datos!R19-Datos!P19+Datos!Q19-O19)),(Datos!P19-Datos!Q19+O19)/(Datos!R19-Datos!P19+Datos!Q19-O19)," - ")</f>
        <v>0.11597258829731154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387.40203062623891</v>
      </c>
      <c r="G21" s="551">
        <f>IF(ISNUMBER(STDEV(G8:G18)),STDEV(G8:G18),"-")</f>
        <v>369.64401794158664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227.83736889866566</v>
      </c>
      <c r="AK21" s="251"/>
      <c r="AL21" s="251">
        <f>IF(ISNUMBER(STDEV(AL8:AL18)),STDEV(AL8:AL18),"-")</f>
        <v>0</v>
      </c>
      <c r="AM21" s="253">
        <f>IF(ISNUMBER(STDEV(AM8:AM18)),STDEV(AM8:AM18),"-")</f>
        <v>0</v>
      </c>
      <c r="AN21" s="538">
        <f>IF(ISNUMBER(STDEV(AN8:AN18)),STDEV(AN8:AN18),"-")</f>
        <v>0</v>
      </c>
      <c r="AO21" s="539">
        <f>IF(ISNUMBER(STDEV(AO8:AO18)),STDEV(AO8:AO18),"-")</f>
        <v>3.8927205206628099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7vBUl/b7lrLfHqZ9B8QOoyellxTeEPsXNr8uEDpT6DJV9iab2KOS9CMQxrqeOx0Q9ULwEAR4NgDkIhkaq9LKQ==" saltValue="CcFG7XnTYS1acDuf/ajf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8S4S7yRCXmB5aGtCEoH6z+ePdluCDSzFVQRt7/DEvSjg30l41qtbgNeHspvMd5M9a54wNxTSP0eew8VTcM2OQ==" saltValue="KO4Q6qaqiqm28D4SCxS3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2AdC8B07CGrfIp302UI+VrZkLLvMDNHUeHUjdduPRS5GOHGJIMA7jGiJPvkbCibTt7FfXiGHKio1QMlpXcrAw==" saltValue="WKBaoz9hYM/DX0x7R17iq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PUERTO DE LA CRUZ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0.3556168159889731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0.25145906208977153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NpDHtNix7Sx2D3uDwHg4zNQHDak9lK0CZ6tS3x9TkX++euo+zjeVH+B+DV+PUzM90CUr4Zph3mvr78n6HZiPA==" saltValue="QSRuA7mw5s8080l80t4l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ZHtixSKBlGXJFhKUuHRTfN6r+3p7V6i+FOdg24go9Iwwf2Zbwjrm2ikM2daKYtFD15rqtcBruAIhTyNvX1JLw==" saltValue="xNh07V9mCWZRmn3b0nFT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PUERTO DE LA CRUZ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7</v>
      </c>
      <c r="F10" s="403">
        <f>IF(ISNUMBER(E10/B10),E10/B10," - ")</f>
        <v>7</v>
      </c>
      <c r="G10" s="402">
        <f>IF(ISNUMBER(Datos!K10),Datos!K10," - ")</f>
        <v>11</v>
      </c>
      <c r="H10" s="403">
        <f>IF(ISNUMBER(G10/B10),G10/B10," - ")</f>
        <v>11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1172</v>
      </c>
      <c r="D12" s="403">
        <f>IF(ISNUMBER(C12/Datos!BH12),C12/Datos!BH12," - ")</f>
        <v>390.66666666666669</v>
      </c>
      <c r="E12" s="402">
        <f>IF(ISNUMBER(IF(J_V="SI",Datos!J12,Datos!J12+Datos!Z12)),IF(J_V="SI",Datos!J12,Datos!J12+Datos!Z12)," - ")</f>
        <v>1701</v>
      </c>
      <c r="F12" s="403">
        <f>IF(ISNUMBER(E12/B12),E12/B12," - ")</f>
        <v>567</v>
      </c>
      <c r="G12" s="402">
        <f>IF(ISNUMBER(IF(J_V="SI",Datos!K12,Datos!K12+Datos!AA12)),IF(J_V="SI",Datos!K12,Datos!K12+Datos!AA12)," - ")</f>
        <v>1440</v>
      </c>
      <c r="H12" s="403">
        <f>IF(ISNUMBER(G12/B12),G12/B12," - ")</f>
        <v>480</v>
      </c>
      <c r="I12" s="402">
        <f>IF(ISNUMBER(IF(J_V="SI",Datos!L12,Datos!L12+Datos!AB12)),IF(J_V="SI",Datos!L12,Datos!L12+Datos!AB12)," - ")</f>
        <v>1301</v>
      </c>
      <c r="J12" s="403">
        <f>IF(ISNUMBER(I12/B12),I12/B12," - ")</f>
        <v>433.66666666666669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1176</v>
      </c>
      <c r="D13" s="849" t="str">
        <f>IF(ISNUMBER(C13/Datos!BI13),C13/Datos!BI13," - ")</f>
        <v xml:space="preserve"> - </v>
      </c>
      <c r="E13" s="848">
        <f>SUBTOTAL(9,E8:E12)</f>
        <v>1708</v>
      </c>
      <c r="F13" s="849">
        <f>IF(ISNUMBER(E13/B13),E13/B13," - ")</f>
        <v>569.33333333333337</v>
      </c>
      <c r="G13" s="848">
        <f>SUBTOTAL(9,G8:G12)</f>
        <v>1451</v>
      </c>
      <c r="H13" s="849">
        <f>IF(ISNUMBER(G13/B13),G13/B13," - ")</f>
        <v>483.66666666666669</v>
      </c>
      <c r="I13" s="848">
        <f>SUBTOTAL(9,I8:I12)</f>
        <v>1301</v>
      </c>
      <c r="J13" s="849">
        <f>IF(ISNUMBER(I13/B13),I13/B13," - ")</f>
        <v>433.66666666666669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673</v>
      </c>
      <c r="D16" s="403">
        <f>IF(ISNUMBER(C16/Datos!BH16),C16/Datos!BH16," - ")</f>
        <v>224.33333333333334</v>
      </c>
      <c r="E16" s="402">
        <f>IF(ISNUMBER(IF(D_I="SI",Datos!J16,Datos!J16+Datos!AD16)),IF(D_I="SI",Datos!J16,Datos!J16+Datos!AD16)," - ")</f>
        <v>2659</v>
      </c>
      <c r="F16" s="403">
        <f>IF(ISNUMBER(E16/B16),E16/B16," - ")</f>
        <v>886.33333333333337</v>
      </c>
      <c r="G16" s="402">
        <f>IF(ISNUMBER(IF(D_I="SI",Datos!K16,Datos!K16+Datos!AE16)),IF(D_I="SI",Datos!K16,Datos!K16+Datos!AE16)," - ")</f>
        <v>2422</v>
      </c>
      <c r="H16" s="403">
        <f>IF(ISNUMBER(G16/B16),G16/B16," - ")</f>
        <v>807.33333333333337</v>
      </c>
      <c r="I16" s="402">
        <f>IF(ISNUMBER(IF(D_I="SI",Datos!L16,Datos!L16+Datos!AF16)),IF(D_I="SI",Datos!L16,Datos!L16+Datos!AF16)," - ")</f>
        <v>912</v>
      </c>
      <c r="J16" s="403">
        <f>IF(ISNUMBER(I16/B16),I16/B16," - ")</f>
        <v>304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v>
      </c>
      <c r="D17" s="403">
        <f>IF(ISNUMBER(C17/Datos!BH17),C17/Datos!BH17," - ")</f>
        <v>25</v>
      </c>
      <c r="E17" s="402">
        <f>IF(ISNUMBER(IF(D_I="SI",Datos!J17,Datos!J17+Datos!AD17)),IF(D_I="SI",Datos!J17,Datos!J17+Datos!AD17)," - ")</f>
        <v>194</v>
      </c>
      <c r="F17" s="403">
        <f>IF(ISNUMBER(E17/B17),E17/B17," - ")</f>
        <v>194</v>
      </c>
      <c r="G17" s="402">
        <f>IF(ISNUMBER(IF(D_I="SI",Datos!K17,Datos!K17+Datos!AE17)),IF(D_I="SI",Datos!K17,Datos!K17+Datos!AE17)," - ")</f>
        <v>164</v>
      </c>
      <c r="H17" s="403">
        <f>IF(ISNUMBER(G17/B17),G17/B17," - ")</f>
        <v>164</v>
      </c>
      <c r="I17" s="402">
        <f>IF(ISNUMBER(IF(D_I="SI",Datos!L17,Datos!L17+Datos!AF17)),IF(D_I="SI",Datos!L17,Datos!L17+Datos!AF17)," - ")</f>
        <v>55</v>
      </c>
      <c r="J17" s="403">
        <f>IF(ISNUMBER(I17/B17),I17/B17," - ")</f>
        <v>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698</v>
      </c>
      <c r="D18" s="849" t="str">
        <f>IF(ISNUMBER(C18/Datos!BI18),C18/Datos!BI18," - ")</f>
        <v xml:space="preserve"> - </v>
      </c>
      <c r="E18" s="848">
        <f>SUBTOTAL(9,E14:E17)</f>
        <v>2853</v>
      </c>
      <c r="F18" s="849">
        <f>IF(ISNUMBER(E18/B18),E18/B18," - ")</f>
        <v>951</v>
      </c>
      <c r="G18" s="848">
        <f>SUBTOTAL(9,G14:G17)</f>
        <v>2586</v>
      </c>
      <c r="H18" s="849">
        <f>IF(ISNUMBER(G18/B18),G18/B18," - ")</f>
        <v>862</v>
      </c>
      <c r="I18" s="848">
        <f>SUBTOTAL(9,I14:I17)</f>
        <v>967</v>
      </c>
      <c r="J18" s="849">
        <f>IF(ISNUMBER(I18/B18),I18/B18," - ")</f>
        <v>322.33333333333331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1874</v>
      </c>
      <c r="D19" s="794" t="str">
        <f>IF(ISNUMBER(C19/Datos!BI19),C19/Datos!BI19," - ")</f>
        <v xml:space="preserve"> - </v>
      </c>
      <c r="E19" s="793">
        <f>SUBTOTAL(9,E9:E18)</f>
        <v>4561</v>
      </c>
      <c r="F19" s="794">
        <f>IF(ISNUMBER(E19/B19),E19/B19," - ")</f>
        <v>1520.3333333333333</v>
      </c>
      <c r="G19" s="793">
        <f>SUBTOTAL(9,G9:G18)</f>
        <v>4037</v>
      </c>
      <c r="H19" s="794">
        <f>IF(ISNUMBER(G19/B19),G19/B19," - ")</f>
        <v>1345.6666666666667</v>
      </c>
      <c r="I19" s="793">
        <f>SUBTOTAL(9,I9:I18)</f>
        <v>2268</v>
      </c>
      <c r="J19" s="794">
        <f>IF(ISNUMBER(I19/B19),I19/B19," - ")</f>
        <v>756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4qn83Q1WfhLGufMVDiv5iMkFHEKLA0lDQX4TrVJBUWeVddPtofE+KZIMLf/BHzSTSeViMtr5nndr4pyFN434TQ==" saltValue="w5UAz1NPs+at2ENVg222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PUERTO DE LA CRUZ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2004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516</v>
      </c>
      <c r="AM12" s="689">
        <f>IF(ISNUMBER(Datos!N12+DatosP!N16),Datos!N12+DatosP!N16," - ")</f>
        <v>106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9.938194444444445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0.12080536912751678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498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282</v>
      </c>
      <c r="AE13" s="938">
        <f t="shared" si="1"/>
        <v>0</v>
      </c>
      <c r="AF13" s="938">
        <f t="shared" si="1"/>
        <v>0</v>
      </c>
      <c r="AG13" s="938">
        <f t="shared" si="1"/>
        <v>0</v>
      </c>
      <c r="AH13" s="938">
        <f t="shared" si="1"/>
        <v>2004</v>
      </c>
      <c r="AI13" s="938">
        <f t="shared" si="1"/>
        <v>0</v>
      </c>
      <c r="AJ13" s="938">
        <f t="shared" si="1"/>
        <v>0</v>
      </c>
      <c r="AK13" s="938">
        <f t="shared" si="1"/>
        <v>0</v>
      </c>
      <c r="AL13" s="938">
        <f t="shared" si="1"/>
        <v>516</v>
      </c>
      <c r="AM13" s="938">
        <f t="shared" si="1"/>
        <v>106</v>
      </c>
      <c r="AN13" s="938">
        <f t="shared" si="1"/>
        <v>0</v>
      </c>
      <c r="AO13" s="938">
        <f t="shared" si="1"/>
        <v>0</v>
      </c>
      <c r="AP13" s="943">
        <f>IF(ISNUMBER(((Datos!L13/Datos!K13)*11)/factor_trimestre),((Datos!L13/Datos!K13)*11)/factor_trimestre," - ")</f>
        <v>9.8425141242937855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-2.75</v>
      </c>
      <c r="AU13" s="938" t="str">
        <f>IF(ISNUMBER((DatosP!#REF!-DatosP!#REF!+DatosP!#REF!)/(DatosP!#REF!+DatosP!#REF!-DatosP!#REF!-DatosP!#REF!)),(DatosP!#REF!-DatosP!#REF!+DatosP!#REF!)/(DatosP!#REF!+DatosP!#REF!-DatosP!#REF!-DatosP!#REF!)," - ")</f>
        <v xml:space="preserve"> - </v>
      </c>
      <c r="AV13" s="944">
        <f>SUBTOTAL(9,AV9:AV12)</f>
        <v>0.12080536912751678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4.1133023975251355</v>
      </c>
      <c r="AQ18" s="943">
        <f>IF(ISNUMBER(((Datos!M18/Datos!L18)*11)/factor_trimestre),((Datos!M18/Datos!L18)*11)/factor_trimestre," - ")</f>
        <v>2.6732161323681489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3.669724770642202E-2</v>
      </c>
      <c r="AW18" s="945">
        <f>IF(ISNUMBER((Datos!Q18-Datos!R18)/(Datos!S18-Datos!Q18+Datos!R18)),(Datos!Q18-Datos!R18)/(Datos!S18-Datos!Q18+Datos!R18)," - ")</f>
        <v>-8.9485458612975396E-2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498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282</v>
      </c>
      <c r="AE19" s="956">
        <f t="shared" si="5"/>
        <v>0</v>
      </c>
      <c r="AF19" s="957">
        <f t="shared" si="5"/>
        <v>0</v>
      </c>
      <c r="AG19" s="957">
        <f t="shared" si="5"/>
        <v>0</v>
      </c>
      <c r="AH19" s="957">
        <f t="shared" si="5"/>
        <v>2004</v>
      </c>
      <c r="AI19" s="957">
        <f t="shared" si="5"/>
        <v>0</v>
      </c>
      <c r="AJ19" s="958">
        <f t="shared" si="5"/>
        <v>0</v>
      </c>
      <c r="AK19" s="958">
        <f t="shared" si="5"/>
        <v>0</v>
      </c>
      <c r="AL19" s="950">
        <f t="shared" si="5"/>
        <v>516</v>
      </c>
      <c r="AM19" s="950">
        <f t="shared" si="5"/>
        <v>106</v>
      </c>
      <c r="AN19" s="950">
        <f t="shared" si="5"/>
        <v>0</v>
      </c>
      <c r="AO19" s="950">
        <f t="shared" si="5"/>
        <v>0</v>
      </c>
      <c r="AP19" s="950">
        <f>IF(ISNUMBER(((Datos!L19/Datos!K19)*11)/factor_trimestre),((Datos!L19/Datos!K19)*11)/factor_trimestre," - ")</f>
        <v>6.1404297851074467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0.11597258829731154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297.91273890184692</v>
      </c>
      <c r="AM21" s="735"/>
      <c r="AN21" s="735">
        <f>IF(ISNUMBER(STDEV(AN8:AN18)),STDEV(AN8:AN18),"-")</f>
        <v>0</v>
      </c>
      <c r="AO21" s="741">
        <f>IF(ISNUMBER(STDEV(AO8:AO18)),STDEV(AO8:AO18),"-")</f>
        <v>0</v>
      </c>
      <c r="AP21" s="778">
        <f>IF(ISNUMBER(STDEV(AP8:AP18)),STDEV(AP8:AP18),"-")</f>
        <v>4.8246281273626535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nMhsbD1ONR4iuiMud8McHCiGgnk6ikSSxo6KpQGmB4B5i9gQsLutqrXeve7rzQKSQhVI3mehw80jWXL83eTwA==" saltValue="LYrZgh7K0QdgkSSJsYND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PUERTO DE LA CRUZ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ohAkiFwXomaRTUMbogzUn/0AmtjvB3677rfmNJ04ZOZA5tJ4PRXflo7Symv6Ej73OB+Ixl/LHFrYIcUCqZANw==" saltValue="smb928A0CVh2MZOIJPYy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PUERTO DE LA CRUZ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516</v>
      </c>
      <c r="E12" s="403">
        <f t="shared" si="0"/>
        <v>172</v>
      </c>
      <c r="F12" s="402">
        <f>IF(ISNUMBER(Datos!N12),Datos!N12," - ")</f>
        <v>106</v>
      </c>
      <c r="G12" s="403">
        <f t="shared" si="1"/>
        <v>35.333333333333336</v>
      </c>
      <c r="H12" s="402">
        <f>IF(ISNUMBER(Datos!O12),Datos!O12," - ")</f>
        <v>197</v>
      </c>
      <c r="I12" s="403">
        <f t="shared" si="2"/>
        <v>65.666666666666671</v>
      </c>
      <c r="BZ12" s="1185">
        <f>Datos!EZ12</f>
        <v>0</v>
      </c>
    </row>
    <row r="13" spans="1:78" ht="14.25" thickTop="1" thickBot="1">
      <c r="A13" s="847" t="str">
        <f>Datos!A13</f>
        <v>TOTAL</v>
      </c>
      <c r="B13" s="848">
        <f>Datos!AP13</f>
        <v>3</v>
      </c>
      <c r="C13" s="850">
        <f>Datos!AR13</f>
        <v>3</v>
      </c>
      <c r="D13" s="848">
        <f>SUBTOTAL(9,D9:D12)</f>
        <v>516</v>
      </c>
      <c r="E13" s="849">
        <f t="shared" si="0"/>
        <v>172</v>
      </c>
      <c r="F13" s="848">
        <f>SUBTOTAL(9,F9:F12)</f>
        <v>106</v>
      </c>
      <c r="G13" s="849">
        <f t="shared" si="1"/>
        <v>35.333333333333336</v>
      </c>
      <c r="H13" s="848">
        <f>SUBTOTAL(9,H9:H12)</f>
        <v>197</v>
      </c>
      <c r="I13" s="849">
        <f>IF(ISNUMBER(H13/B13),H13/B13," - ")</f>
        <v>65.666666666666671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218</v>
      </c>
      <c r="E16" s="403">
        <f t="shared" si="3"/>
        <v>72.666666666666671</v>
      </c>
      <c r="F16" s="402">
        <f>IF(ISNUMBER(Datos!N16),Datos!N16," - ")</f>
        <v>1663</v>
      </c>
      <c r="G16" s="403">
        <f t="shared" si="4"/>
        <v>554.33333333333337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124</v>
      </c>
      <c r="G17" s="403">
        <f>IF(ISNUMBER(F17/B17),F17/B17," - ")</f>
        <v>124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235</v>
      </c>
      <c r="E18" s="849">
        <f t="shared" si="3"/>
        <v>78.333333333333329</v>
      </c>
      <c r="F18" s="848">
        <f>SUBTOTAL(9,F15:F17)</f>
        <v>1787</v>
      </c>
      <c r="G18" s="849">
        <f t="shared" si="4"/>
        <v>595.66666666666663</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751</v>
      </c>
      <c r="E19" s="794">
        <f>IF(ISNUMBER(D19/B19),D19/B19," - ")</f>
        <v>250.33333333333334</v>
      </c>
      <c r="F19" s="793">
        <f>SUBTOTAL(9,F8:F18)</f>
        <v>1893</v>
      </c>
      <c r="G19" s="794">
        <f>IF(ISNUMBER(F19/B19),F19/B19," - ")</f>
        <v>631</v>
      </c>
      <c r="H19" s="793">
        <f>SUBTOTAL(9,H8:H18)</f>
        <v>197</v>
      </c>
      <c r="I19" s="794">
        <f>IF(ISNUMBER(H19/B19),H19/B19," - ")</f>
        <v>65.666666666666671</v>
      </c>
    </row>
    <row r="22" spans="1:78">
      <c r="A22" s="390" t="str">
        <f>Criterios!A4</f>
        <v>Fecha Informe: 18 mar. 2026</v>
      </c>
    </row>
    <row r="27" spans="1:78">
      <c r="A27" s="413"/>
    </row>
  </sheetData>
  <sheetProtection algorithmName="SHA-512" hashValue="e0r3G18pd85Iu13Qtl7pTRArpbbcIeSqFpzwKoeW7LrDn1pCdLjRSX5al9fx/TYG/dDzn9TKfZyiDIUaqSQyVw==" saltValue="BREDfLRnKDP1e8e2gZJi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PUERTO DE LA CRUZ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498</v>
      </c>
      <c r="C12" s="433">
        <f>IF(ISNUMBER(Datos!Q12),Datos!Q12," - ")</f>
        <v>282</v>
      </c>
      <c r="D12" s="407">
        <f>IF(ISNUMBER(Datos!R12),Datos!R12," - ")</f>
        <v>2004</v>
      </c>
    </row>
    <row r="13" spans="1:4" ht="14.25" thickTop="1" thickBot="1">
      <c r="A13" s="847" t="str">
        <f>Datos!A13</f>
        <v>TOTAL</v>
      </c>
      <c r="B13" s="848">
        <f>SUBTOTAL(9,B9:B12)</f>
        <v>498</v>
      </c>
      <c r="C13" s="852">
        <f>SUBTOTAL(9,C9:C12)</f>
        <v>282</v>
      </c>
      <c r="D13" s="850">
        <f>SUBTOTAL(9,D9:D12)</f>
        <v>2004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33</v>
      </c>
      <c r="D16" s="407">
        <f>IF(ISNUMBER(Datos!R16),Datos!R16," - ")</f>
        <v>113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37</v>
      </c>
      <c r="C18" s="852">
        <f>SUBTOTAL(9,C15:C17)</f>
        <v>33</v>
      </c>
      <c r="D18" s="850">
        <f>SUBTOTAL(9,D15:D17)</f>
        <v>113</v>
      </c>
    </row>
    <row r="19" spans="1:4" ht="16.5" customHeight="1" thickTop="1" thickBot="1">
      <c r="A19" s="792" t="str">
        <f>Datos!A19</f>
        <v>TOTAL JURISDICCIONES</v>
      </c>
      <c r="B19" s="797">
        <f>SUBTOTAL(9,B8:B18)</f>
        <v>535</v>
      </c>
      <c r="C19" s="798">
        <f>SUBTOTAL(9,C8:C18)</f>
        <v>315</v>
      </c>
      <c r="D19" s="799">
        <f>SUBTOTAL(9,D8:D18)</f>
        <v>2117</v>
      </c>
    </row>
    <row r="20" spans="1:4" ht="7.5" customHeight="1"/>
    <row r="21" spans="1:4" ht="6" customHeight="1"/>
    <row r="22" spans="1:4">
      <c r="A22" s="390" t="str">
        <f>Criterios!A4</f>
        <v>Fecha Informe: 18 mar. 2026</v>
      </c>
    </row>
    <row r="27" spans="1:4">
      <c r="A27" s="413"/>
    </row>
  </sheetData>
  <sheetProtection algorithmName="SHA-512" hashValue="jdnwih/nbO3K62eyIJI2HSsaUJ41by61QoDi2RU2P3kitF4sFWCEpR7hQEVqvPK9zPTtwPkPDGQAeLRB1pjRww==" saltValue="zRuF7ix64t3SxvHImuJw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PUERTO DE LA CRUZ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-0.55555555555555558</v>
      </c>
      <c r="C10" s="455">
        <f>IF(ISNUMBER((Datos!J10-Datos!T10)/Datos!T10),(Datos!J10-Datos!T10)/Datos!T10," - ")</f>
        <v>-0.22222222222222221</v>
      </c>
      <c r="D10" s="455">
        <f>IF(ISNUMBER((Datos!K10-Datos!U10)/Datos!U10),(Datos!K10-Datos!U10)/Datos!U10," - ")</f>
        <v>-0.21428571428571427</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1.0204081632653024E-2</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-0.22222222222222229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8.6058519793459545E-3</v>
      </c>
      <c r="C12" s="455">
        <f>IF(ISNUMBER(
   IF(J_V="SI",(Datos!J12-Datos!T12)/Datos!T12,(Datos!J12+Datos!Z12-(Datos!T12+Datos!AH12))/(Datos!T12+Datos!AH12))
     ),IF(J_V="SI",(Datos!J12-Datos!T12)/Datos!T12,(Datos!J12+Datos!Z12-(Datos!T12+Datos!AH12))/(Datos!T12+Datos!AH12))," - ")</f>
        <v>-0.17746615087040618</v>
      </c>
      <c r="D12" s="455">
        <f>IF(ISNUMBER(
   IF(J_V="SI",(Datos!K12-Datos!U12)/Datos!U12,(Datos!K12+Datos!AA12-(Datos!U12+Datos!AI12))/(Datos!U12+Datos!AI12))
     ),IF(J_V="SI",(Datos!K12-Datos!U12)/Datos!U12,(Datos!K12+Datos!AA12-(Datos!U12+Datos!AI12))/(Datos!U12+Datos!AI12))," - ")</f>
        <v>-0.30029154518950435</v>
      </c>
      <c r="E12" s="455">
        <f>IF(ISNUMBER(
   IF(J_V="SI",(Datos!L12-Datos!V12)/Datos!V12,(Datos!L12+Datos!AB12-(Datos!V12+Datos!AJ12))/(Datos!V12+Datos!AJ12))
     ),IF(J_V="SI",(Datos!L12-Datos!V12)/Datos!V12,(Datos!L12+Datos!AB12-(Datos!V12+Datos!AJ12))/(Datos!V12+Datos!AJ12))," - ")</f>
        <v>0.11006825938566553</v>
      </c>
      <c r="F12" s="455">
        <f>IF(ISNUMBER((Datos!M12-Datos!W12)/Datos!W12),(Datos!M12-Datos!W12)/Datos!W12," - ")</f>
        <v>-0.16369529983792544</v>
      </c>
      <c r="G12" s="456">
        <f>IF(ISNUMBER((Datos!N12-Datos!X12)/Datos!X12),(Datos!N12-Datos!X12)/Datos!X12," - ")</f>
        <v>-0.67182662538699689</v>
      </c>
      <c r="H12" s="454">
        <f>IF(ISNUMBER(((NºAsuntos!G12/NºAsuntos!E12)-Datos!BD12)/Datos!BD12),((NºAsuntos!G12/NºAsuntos!E12)-Datos!BD12)/Datos!BD12," - ")</f>
        <v>-0.14932564106519403</v>
      </c>
      <c r="I12" s="455">
        <f>IF(ISNUMBER(((NºAsuntos!I12/NºAsuntos!G12)-Datos!BE12)/Datos!BE12),((NºAsuntos!I12/NºAsuntos!G12)-Datos!BE12)/Datos!BE12," - ")</f>
        <v>0.58647255403868026</v>
      </c>
      <c r="J12" s="460">
        <f>IF(ISNUMBER((('Resol  Asuntos'!D12/NºAsuntos!G12)-Datos!BF12)/Datos!BF12),(('Resol  Asuntos'!D12/NºAsuntos!G12)-Datos!BF12)/Datos!BF12," - ")</f>
        <v>1.2831269349845202</v>
      </c>
      <c r="K12" s="461">
        <f>IF(ISNUMBER((((NºAsuntos!C12+NºAsuntos!E12)/NºAsuntos!G12)-Datos!BG12)/Datos!BG12),(((NºAsuntos!C12+NºAsuntos!E12)/NºAsuntos!G12)-Datos!BG12)/Datos!BG12," - ")</f>
        <v>0.2712061403508772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4.269854824935952E-3</v>
      </c>
      <c r="C13" s="854">
        <f>IF(ISNUMBER(
   IF(J_V="SI",(Datos!J13-Datos!T13)/Datos!T13,(Datos!J13+Datos!Z13-(Datos!T13+Datos!AH13))/(Datos!T13+Datos!AH13))
     ),IF(J_V="SI",(Datos!J13-Datos!T13)/Datos!T13,(Datos!J13+Datos!Z13-(Datos!T13+Datos!AH13))/(Datos!T13+Datos!AH13))," - ")</f>
        <v>-0.1776600866634569</v>
      </c>
      <c r="D13" s="854">
        <f>IF(ISNUMBER(
   IF(J_V="SI",(Datos!K13-Datos!U13)/Datos!U13,(Datos!K13+Datos!AA13-(Datos!U13+Datos!AI13))/(Datos!U13+Datos!AI13))
     ),IF(J_V="SI",(Datos!K13-Datos!U13)/Datos!U13,(Datos!K13+Datos!AA13-(Datos!U13+Datos!AI13))/(Datos!U13+Datos!AI13))," - ")</f>
        <v>-0.29971042471042469</v>
      </c>
      <c r="E13" s="854">
        <f>IF(ISNUMBER(
   IF(J_V="SI",(Datos!L13-Datos!V13)/Datos!V13,(Datos!L13+Datos!AB13-(Datos!V13+Datos!AJ13))/(Datos!V13+Datos!AJ13))
     ),IF(J_V="SI",(Datos!L13-Datos!V13)/Datos!V13,(Datos!L13+Datos!AB13-(Datos!V13+Datos!AJ13))/(Datos!V13+Datos!AJ13))," - ")</f>
        <v>0.10629251700680271</v>
      </c>
      <c r="F13" s="855">
        <f>IF(ISNUMBER((Datos!M13-Datos!W13)/Datos!W13),(Datos!M13-Datos!W13)/Datos!W13," - ")</f>
        <v>-0.16369529983792544</v>
      </c>
      <c r="G13" s="856">
        <f>IF(ISNUMBER((Datos!N13-Datos!X13)/Datos!X13),(Datos!N13-Datos!X13)/Datos!X13," - ")</f>
        <v>-0.67182662538699689</v>
      </c>
      <c r="H13" s="856">
        <f>IF(ISNUMBER(((NºAsuntos!G13/NºAsuntos!E13)-Datos!BD13)/Datos!BD13),((NºAsuntos!G13/NºAsuntos!E13)-Datos!BD13)/Datos!BD13," - ")</f>
        <v>-0.14841835604423426</v>
      </c>
      <c r="I13" s="856">
        <f>IF(ISNUMBER(((NºAsuntos!I13/NºAsuntos!G13)-Datos!BE13)/Datos!BE13),((NºAsuntos!I13/NºAsuntos!G13)-Datos!BE13)/Datos!BE13," - ")</f>
        <v>0.5797643661186046</v>
      </c>
      <c r="J13" s="856">
        <f>IF(ISNUMBER((('Resol  Asuntos'!D13/NºAsuntos!G13)-Datos!BF13)/Datos!BF13),(('Resol  Asuntos'!D13/NºAsuntos!G13)-Datos!BF13)/Datos!BF13," - ")</f>
        <v>1.281232330430812</v>
      </c>
      <c r="K13" s="856">
        <f>IF(ISNUMBER((((NºAsuntos!C13+NºAsuntos!E13)/NºAsuntos!G13)-Datos!BG13)/Datos!BG13),(((NºAsuntos!C13+NºAsuntos!E13)/NºAsuntos!G13)-Datos!BG13)/Datos!BG13," - ")</f>
        <v>0.26794838280377392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-0.14158163265306123</v>
      </c>
      <c r="C16" s="455">
        <f>IF(ISNUMBER(
   IF(D_I="SI",(Datos!J16-Datos!T16)/Datos!T16,(Datos!J16+Datos!AD16-(Datos!T16+Datos!AL16))/(Datos!T16+Datos!AL16))
     ),IF(D_I="SI",(Datos!J16-Datos!T16)/Datos!T16,(Datos!J16+Datos!AD16-(Datos!T16+Datos!AL16))/(Datos!T16+Datos!AL16))," - ")</f>
        <v>-9.7726501526976581E-2</v>
      </c>
      <c r="D16" s="455">
        <f>IF(ISNUMBER(
   IF(D_I="SI",(Datos!K16-Datos!U16)/Datos!U16,(Datos!K16+Datos!AE16-(Datos!U16+Datos!AM16))/(Datos!U16+Datos!AM16))
     ),IF(D_I="SI",(Datos!K16-Datos!U16)/Datos!U16,(Datos!K16+Datos!AE16-(Datos!U16+Datos!AM16))/(Datos!U16+Datos!AM16))," - ")</f>
        <v>-0.21056062581486309</v>
      </c>
      <c r="E16" s="455">
        <f>IF(ISNUMBER(
   IF(D_I="SI",(Datos!L16-Datos!V16)/Datos!V16,(Datos!L16+Datos!AF16-(Datos!V16+Datos!AN16))/(Datos!V16+Datos!AN16))
     ),IF(D_I="SI",(Datos!L16-Datos!V16)/Datos!V16,(Datos!L16+Datos!AF16-(Datos!V16+Datos!AN16))/(Datos!V16+Datos!AN16))," - ")</f>
        <v>0.35512630014858843</v>
      </c>
      <c r="F16" s="455">
        <f>IF(ISNUMBER((Datos!M16-Datos!W16)/Datos!W16),(Datos!M16-Datos!W16)/Datos!W16," - ")</f>
        <v>-0.25850340136054423</v>
      </c>
      <c r="G16" s="456">
        <f>IF(ISNUMBER((Datos!N16-Datos!X16)/Datos!X16),(Datos!N16-Datos!X16)/Datos!X16," - ")</f>
        <v>-0.17098703888334996</v>
      </c>
      <c r="H16" s="454">
        <f>IF(ISNUMBER(((NºAsuntos!G16/NºAsuntos!E16)-Datos!BD16)/Datos!BD16),((NºAsuntos!G16/NºAsuntos!E16)-Datos!BD16)/Datos!BD16," - ")</f>
        <v>-0.12505534572260299</v>
      </c>
      <c r="I16" s="455">
        <f>IF(ISNUMBER(((NºAsuntos!I16/NºAsuntos!G16)-Datos!BE16)/Datos!BE16),((NºAsuntos!I16/NºAsuntos!G16)-Datos!BE16)/Datos!BE16," - ")</f>
        <v>0.71656791447393453</v>
      </c>
      <c r="J16" s="460">
        <f>IF(ISNUMBER((('Resol  Asuntos'!D16/NºAsuntos!G16)-Datos!BF16)/Datos!BF16),(('Resol  Asuntos'!D16/NºAsuntos!G16)-Datos!BF16)/Datos!BF16," - ")</f>
        <v>-6.0730154985198084E-2</v>
      </c>
      <c r="K16" s="461">
        <f>IF(ISNUMBER((((NºAsuntos!C16+NºAsuntos!E16)/NºAsuntos!G16)-Datos!BG16)/Datos!BG16),(((NºAsuntos!C16+NºAsuntos!E16)/NºAsuntos!G16)-Datos!BG16)/Datos!BG16," - ")</f>
        <v>0.13125616805300999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-4.4334975369458129E-2</v>
      </c>
      <c r="D17" s="455">
        <f>IF(ISNUMBER(
   IF(D_I="SI",(Datos!K17-Datos!U17)/Datos!U17,(Datos!K17+Datos!AE17-(Datos!U17+Datos!AM17))/(Datos!U17+Datos!AM17))
     ),IF(D_I="SI",(Datos!K17-Datos!U17)/Datos!U17,(Datos!K17+Datos!AE17-(Datos!U17+Datos!AM17))/(Datos!U17+Datos!AM17))," - ")</f>
        <v>-0.21153846153846154</v>
      </c>
      <c r="E17" s="455">
        <f>IF(ISNUMBER(
   IF(D_I="SI",(Datos!L17-Datos!V17)/Datos!V17,(Datos!L17+Datos!AF17-(Datos!V17+Datos!AN17))/(Datos!V17+Datos!AN17))
     ),IF(D_I="SI",(Datos!L17-Datos!V17)/Datos!V17,(Datos!L17+Datos!AF17-(Datos!V17+Datos!AN17))/(Datos!V17+Datos!AN17))," - ")</f>
        <v>1.2</v>
      </c>
      <c r="F17" s="455">
        <f>IF(ISNUMBER((Datos!M17-Datos!W17)/Datos!W17),(Datos!M17-Datos!W17)/Datos!W17," - ")</f>
        <v>-0.5641025641025641</v>
      </c>
      <c r="G17" s="456">
        <f>IF(ISNUMBER((Datos!N17-Datos!X17)/Datos!X17),(Datos!N17-Datos!X17)/Datos!X17," - ")</f>
        <v>-0.27906976744186046</v>
      </c>
      <c r="H17" s="454">
        <f>IF(ISNUMBER(((NºAsuntos!G17/NºAsuntos!E17)-Datos!BD17)/Datos!BD17),((NºAsuntos!G17/NºAsuntos!E17)-Datos!BD17)/Datos!BD17," - ")</f>
        <v>-0.17496034892942117</v>
      </c>
      <c r="I17" s="455">
        <f>IF(ISNUMBER(((NºAsuntos!I17/NºAsuntos!G17)-Datos!BE17)/Datos!BE17),((NºAsuntos!I17/NºAsuntos!G17)-Datos!BE17)/Datos!BE17," - ")</f>
        <v>1.7902439024390244</v>
      </c>
      <c r="J17" s="460">
        <f>IF(ISNUMBER((('Resol  Asuntos'!D17/NºAsuntos!G17)-Datos!BF17)/Datos!BF17),(('Resol  Asuntos'!D17/NºAsuntos!G17)-Datos!BF17)/Datos!BF17," - ")</f>
        <v>-0.44715447154471549</v>
      </c>
      <c r="K17" s="461">
        <f>IF(ISNUMBER((((NºAsuntos!C17+NºAsuntos!E17)/NºAsuntos!G17)-Datos!BG17)/Datos!BG17),(((NºAsuntos!C17+NºAsuntos!E17)/NºAsuntos!G17)-Datos!BG17)/Datos!BG17," - ")</f>
        <v>0.1920862556265048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-0.14250614250614252</v>
      </c>
      <c r="C18" s="854">
        <f>IF(ISNUMBER(
   IF(Criterios!B14="SI",(Datos!J18-Datos!T18)/Datos!T18,(Datos!J18+Datos!AD18-(Datos!T18+Datos!AL18))/(Datos!T18+Datos!AL18))
     ),IF(Criterios!B14="SI",(Datos!J18-Datos!T18)/Datos!T18,(Datos!J18+Datos!AD18-(Datos!T18+Datos!AL18))/(Datos!T18+Datos!AL18))," - ")</f>
        <v>-9.4285714285714292E-2</v>
      </c>
      <c r="D18" s="854">
        <f>IF(ISNUMBER(
   IF(Criterios!B14="SI",(Datos!K18-Datos!U18)/Datos!U18,(Datos!K18+Datos!AE18-(Datos!U18+Datos!AM18))/(Datos!U18+Datos!AM18))
     ),IF(Criterios!B14="SI",(Datos!K18-Datos!U18)/Datos!U18,(Datos!K18+Datos!AE18-(Datos!U18+Datos!AM18))/(Datos!U18+Datos!AM18))," - ")</f>
        <v>-0.21062271062271062</v>
      </c>
      <c r="E18" s="854">
        <f>IF(ISNUMBER(
   IF(Criterios!B14="SI",(Datos!L18-Datos!V18)/Datos!V18,(Datos!L18+Datos!AF18-(Datos!V18+Datos!AN18))/(Datos!V18+Datos!AN18))
     ),IF(Criterios!B14="SI",(Datos!L18-Datos!V18)/Datos!V18,(Datos!L18+Datos!AF18-(Datos!V18+Datos!AN18))/(Datos!V18+Datos!AN18))," - ")</f>
        <v>0.38538681948424069</v>
      </c>
      <c r="F18" s="855">
        <f>IF(ISNUMBER((Datos!M18-Datos!W18)/Datos!W18),(Datos!M18-Datos!W18)/Datos!W18," - ")</f>
        <v>-0.29429429429429427</v>
      </c>
      <c r="G18" s="856">
        <f>IF(ISNUMBER((Datos!N18-Datos!X18)/Datos!X18),(Datos!N18-Datos!X18)/Datos!X18," - ")</f>
        <v>-0.17952249770431589</v>
      </c>
      <c r="H18" s="856">
        <f>IF(ISNUMBER(((NºAsuntos!G18/NºAsuntos!E18)-Datos!BD18)/Datos!BD18),((NºAsuntos!G18/NºAsuntos!E18)-Datos!BD18)/Datos!BD18," - ")</f>
        <v>-0.12844778775378146</v>
      </c>
      <c r="I18" s="856">
        <f>IF(ISNUMBER(((NºAsuntos!I18/NºAsuntos!G18)-Datos!BE18)/Datos!BE18),((NºAsuntos!I18/NºAsuntos!G18)-Datos!BE18)/Datos!BE18," - ")</f>
        <v>0.75503759498467604</v>
      </c>
      <c r="J18" s="856">
        <f>IF(ISNUMBER((('Resol  Asuntos'!D18/NºAsuntos!G18)-Datos!BF18)/Datos!BF18),(('Resol  Asuntos'!D18/NºAsuntos!G18)-Datos!BF18)/Datos!BF18," - ")</f>
        <v>-0.10599694822432643</v>
      </c>
      <c r="K18" s="856">
        <f>IF(ISNUMBER((((NºAsuntos!C18+NºAsuntos!E18)/NºAsuntos!G18)-Datos!BG18)/Datos!BG18),(((NºAsuntos!C18+NºAsuntos!E18)/NºAsuntos!G18)-Datos!BG18)/Datos!BG18," - ")</f>
        <v>0.13483415706556223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-5.5919395465994962E-2</v>
      </c>
      <c r="C19" s="801">
        <f>IF(ISNUMBER(
   IF(J_V="SI",(Datos!J19-Datos!T19)/Datos!T19,(Datos!J19+Datos!Z19-(Datos!T19+Datos!AH19))/(Datos!T19+Datos!AH19))
     ),IF(J_V="SI",(Datos!J19-Datos!T19)/Datos!T19,(Datos!J19+Datos!Z19-(Datos!T19+Datos!AH19))/(Datos!T19+Datos!AH19))," - ")</f>
        <v>-0.12741534340922134</v>
      </c>
      <c r="D19" s="801">
        <f>IF(ISNUMBER(
   IF(J_V="SI",(Datos!K19-Datos!U19)/Datos!U19,(Datos!K19+Datos!AA19-(Datos!U19+Datos!AI19))/(Datos!U19+Datos!AI19))
     ),IF(J_V="SI",(Datos!K19-Datos!U19)/Datos!U19,(Datos!K19+Datos!AA19-(Datos!U19+Datos!AI19))/(Datos!U19+Datos!AI19))," - ")</f>
        <v>-0.24513836948391923</v>
      </c>
      <c r="E19" s="801">
        <f>IF(ISNUMBER(
   IF(J_V="SI",(Datos!L19-Datos!V19)/Datos!V19,(Datos!L19+Datos!AB19-(Datos!V19+Datos!AJ19))/(Datos!V19+Datos!AJ19))
     ),IF(J_V="SI",(Datos!L19-Datos!V19)/Datos!V19,(Datos!L19+Datos!AB19-(Datos!V19+Datos!AJ19))/(Datos!V19+Datos!AJ19))," - ")</f>
        <v>0.21024546424759871</v>
      </c>
      <c r="F19" s="802">
        <f>IF(ISNUMBER((Datos!M19-Datos!W19)/Datos!W19),(Datos!M19-Datos!W19)/Datos!W19," - ")</f>
        <v>-0.20947368421052631</v>
      </c>
      <c r="G19" s="803">
        <f>IF(ISNUMBER((Datos!N19-Datos!X19)/Datos!X19),(Datos!N19-Datos!X19)/Datos!X19," - ")</f>
        <v>-0.24310275889644142</v>
      </c>
      <c r="H19" s="804">
        <f>IF(ISNUMBER((Tasas!B19-Datos!BD19)/Datos!BD19),(Tasas!B19-Datos!BD19)/Datos!BD19," - ")</f>
        <v>-0.13491301409612932</v>
      </c>
      <c r="I19" s="805">
        <f>IF(ISNUMBER((Tasas!C19-Datos!BE19)/Datos!BE19),(Tasas!C19-Datos!BE19)/Datos!BE19," - ")</f>
        <v>0.60326795709590242</v>
      </c>
      <c r="J19" s="806">
        <f>IF(ISNUMBER((Tasas!D19-Datos!BF19)/Datos!BF19),(Tasas!D19-Datos!BF19)/Datos!BF19," - ")</f>
        <v>0.51659195127992885</v>
      </c>
      <c r="K19" s="806">
        <f>IF(ISNUMBER((Tasas!E19-Datos!BG19)/Datos!BG19),(Tasas!E19-Datos!BG19)/Datos!BG19," - ")</f>
        <v>0.18202178929758303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hU5R2Oarc/O/Yh8hzZQmxPOUT9vTGgKbIALtcaaaiblWEDO0n1jtmIhuubq8e/aRfgZWFVa+WyVkuD18TDrEQ==" saltValue="xW+KFlxJpnXPJjyUdI21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PUERTO DE LA CRUZ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1.5714285714285714</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0.84656084656084651</v>
      </c>
      <c r="C12" s="442">
        <f>IF(ISNUMBER(NºAsuntos!I12/NºAsuntos!G12),NºAsuntos!I12/NºAsuntos!G12," - ")</f>
        <v>0.90347222222222223</v>
      </c>
      <c r="D12" s="443">
        <f>IF(ISNUMBER('Resol  Asuntos'!D12/NºAsuntos!G12),'Resol  Asuntos'!D12/NºAsuntos!G12," - ")</f>
        <v>0.35833333333333334</v>
      </c>
      <c r="E12" s="444">
        <f>IF(ISNUMBER((NºAsuntos!C12+NºAsuntos!E12)/NºAsuntos!G12),(NºAsuntos!C12+NºAsuntos!E12)/NºAsuntos!G12," - ")</f>
        <v>1.9951388888888888</v>
      </c>
      <c r="G12" s="462"/>
    </row>
    <row r="13" spans="1:7" ht="14.25" thickTop="1" thickBot="1">
      <c r="A13" s="847" t="str">
        <f>Datos!A13</f>
        <v>TOTAL</v>
      </c>
      <c r="B13" s="857">
        <f>IF(ISNUMBER(NºAsuntos!G13/NºAsuntos!E13),NºAsuntos!G13/NºAsuntos!E13," - ")</f>
        <v>0.84953161592505855</v>
      </c>
      <c r="C13" s="858">
        <f>IF(ISNUMBER(NºAsuntos!I13/NºAsuntos!G13),NºAsuntos!I13/NºAsuntos!G13," - ")</f>
        <v>0.89662301860785665</v>
      </c>
      <c r="D13" s="859">
        <f>IF(ISNUMBER('Resol  Asuntos'!D13/NºAsuntos!G13),'Resol  Asuntos'!D13/NºAsuntos!G13," - ")</f>
        <v>0.3556168159889731</v>
      </c>
      <c r="E13" s="860">
        <f>IF(ISNUMBER((NºAsuntos!C13+NºAsuntos!E13)/NºAsuntos!G13),(NºAsuntos!C13+NºAsuntos!E13)/NºAsuntos!G13," - ")</f>
        <v>1.9875947622329428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0.91086874764949233</v>
      </c>
      <c r="C16" s="442">
        <f>IF(ISNUMBER(NºAsuntos!I16/NºAsuntos!G16),NºAsuntos!I16/NºAsuntos!G16," - ")</f>
        <v>0.37654830718414534</v>
      </c>
      <c r="D16" s="443">
        <f>IF(ISNUMBER('Resol  Asuntos'!D16/NºAsuntos!G16),'Resol  Asuntos'!D16/NºAsuntos!G16," - ")</f>
        <v>9.0008257638315436E-2</v>
      </c>
      <c r="E16" s="444">
        <f>IF(ISNUMBER((NºAsuntos!C16+NºAsuntos!E16)/NºAsuntos!G16),(NºAsuntos!C16+NºAsuntos!E16)/NºAsuntos!G16," - ")</f>
        <v>1.3757225433526012</v>
      </c>
      <c r="G16" s="462"/>
    </row>
    <row r="17" spans="1:7" ht="21.75" thickBot="1">
      <c r="A17" s="401" t="str">
        <f>Datos!A17</f>
        <v>Jdos. Violencia contra la mujer/Secc Viol. TI.</v>
      </c>
      <c r="B17" s="441">
        <f>IF(ISNUMBER(NºAsuntos!G17/NºAsuntos!E17),NºAsuntos!G17/NºAsuntos!E17," - ")</f>
        <v>0.84536082474226804</v>
      </c>
      <c r="C17" s="442">
        <f>IF(ISNUMBER(NºAsuntos!I17/NºAsuntos!G17),NºAsuntos!I17/NºAsuntos!G17," - ")</f>
        <v>0.33536585365853661</v>
      </c>
      <c r="D17" s="443">
        <f>IF(ISNUMBER('Resol  Asuntos'!D17/NºAsuntos!G17),'Resol  Asuntos'!D17/NºAsuntos!G17," - ")</f>
        <v>0.10365853658536585</v>
      </c>
      <c r="E17" s="444">
        <f>IF(ISNUMBER((NºAsuntos!C17+NºAsuntos!E17)/NºAsuntos!G17),(NºAsuntos!C17+NºAsuntos!E17)/NºAsuntos!G17," - ")</f>
        <v>1.3353658536585367</v>
      </c>
      <c r="G17" s="462"/>
    </row>
    <row r="18" spans="1:7" ht="14.25" thickTop="1" thickBot="1">
      <c r="A18" s="847" t="str">
        <f>Datos!A18</f>
        <v>TOTAL</v>
      </c>
      <c r="B18" s="857">
        <f>IF(ISNUMBER(NºAsuntos!G18/NºAsuntos!E18),NºAsuntos!G18/NºAsuntos!E18," - ")</f>
        <v>0.90641430073606732</v>
      </c>
      <c r="C18" s="858">
        <f>IF(ISNUMBER(NºAsuntos!I18/NºAsuntos!G18),NºAsuntos!I18/NºAsuntos!G18," - ")</f>
        <v>0.3739365815931941</v>
      </c>
      <c r="D18" s="861">
        <f>IF(ISNUMBER('Resol  Asuntos'!D18/NºAsuntos!G18),'Resol  Asuntos'!D18/NºAsuntos!G18," - ")</f>
        <v>9.0873936581593193E-2</v>
      </c>
      <c r="E18" s="860">
        <f>IF(ISNUMBER((NºAsuntos!C18+NºAsuntos!E18)/NºAsuntos!G18),(NºAsuntos!C18+NºAsuntos!E18)/NºAsuntos!G18," - ")</f>
        <v>1.3731631863882443</v>
      </c>
      <c r="G18" s="462"/>
    </row>
    <row r="19" spans="1:7" ht="15.75" customHeight="1" thickTop="1" thickBot="1">
      <c r="A19" s="792" t="str">
        <f>Datos!A19</f>
        <v>TOTAL JURISDICCIONES</v>
      </c>
      <c r="B19" s="807">
        <f>IF(ISNUMBER(NºAsuntos!G19/NºAsuntos!E19),NºAsuntos!G19/NºAsuntos!E19," - ")</f>
        <v>0.88511291383468538</v>
      </c>
      <c r="C19" s="808">
        <f>IF(ISNUMBER(NºAsuntos!I19/NºAsuntos!G19),NºAsuntos!I19/NºAsuntos!G19," - ")</f>
        <v>0.56180331929650729</v>
      </c>
      <c r="D19" s="809">
        <f>IF(ISNUMBER('Resol  Asuntos'!D19/NºAsuntos!G19),'Resol  Asuntos'!D19/NºAsuntos!G19," - ")</f>
        <v>0.18602922962595986</v>
      </c>
      <c r="E19" s="810">
        <f>IF(ISNUMBER((NºAsuntos!C19+NºAsuntos!E19)/NºAsuntos!G19),(NºAsuntos!C19+NºAsuntos!E19)/NºAsuntos!G19," - ")</f>
        <v>1.5940054495912805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scAiTdVW8csFEBRYQymg6oF661Wd/N+13jvPihmHdsARcgv130yC/Z7aVfQ7AbvFythz6sXXrLxS/sH0E4zqw==" saltValue="hWDCH3ltCqjQD5UuQLme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PUERTO DE LA CRUZ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1.5714285714285714</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282</v>
      </c>
      <c r="Y12" s="333">
        <f t="shared" si="0"/>
        <v>282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516</v>
      </c>
      <c r="AJ12" s="228" t="str">
        <f>IF(ISNUMBER(Datos!BW12),Datos!BW12," - ")</f>
        <v xml:space="preserve"> - </v>
      </c>
      <c r="AK12" s="227" t="str">
        <f>IF(ISNUMBER(Datos!BX12),Datos!BX12," - ")</f>
        <v xml:space="preserve"> - </v>
      </c>
      <c r="AL12" s="242">
        <f>IF(ISNUMBER(NºAsuntos!G12/NºAsuntos!E12),NºAsuntos!G12/NºAsuntos!E12," - ")</f>
        <v>0.84656084656084651</v>
      </c>
      <c r="AM12" s="259">
        <f>IF(ISNUMBER(((NºAsuntos!I12/NºAsuntos!G12)*11)/factor_trimestre),((NºAsuntos!I12/NºAsuntos!G12)*11)/factor_trimestre," - ")</f>
        <v>9.938194444444445</v>
      </c>
      <c r="AN12" s="243">
        <f>IF(ISNUMBER('Resol  Asuntos'!D12/NºAsuntos!G12),'Resol  Asuntos'!D12/NºAsuntos!G12," - ")</f>
        <v>0.35833333333333334</v>
      </c>
      <c r="AO12" s="244">
        <f>IF(ISNUMBER((NºAsuntos!C12+NºAsuntos!E12)/NºAsuntos!G12),(NºAsuntos!C12+NºAsuntos!E12)/NºAsuntos!G12," - ")</f>
        <v>1.9951388888888888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v>
      </c>
      <c r="G13" s="865">
        <f t="shared" si="3"/>
        <v>4</v>
      </c>
      <c r="H13" s="864">
        <f t="shared" si="3"/>
        <v>0</v>
      </c>
      <c r="I13" s="866">
        <f t="shared" si="3"/>
        <v>0</v>
      </c>
      <c r="J13" s="866">
        <f t="shared" si="3"/>
        <v>0</v>
      </c>
      <c r="K13" s="866">
        <f t="shared" si="3"/>
        <v>0</v>
      </c>
      <c r="L13" s="866">
        <f t="shared" si="3"/>
        <v>498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282</v>
      </c>
      <c r="Y13" s="867">
        <f t="shared" si="4"/>
        <v>293</v>
      </c>
      <c r="Z13" s="867">
        <f t="shared" si="4"/>
        <v>0</v>
      </c>
      <c r="AA13" s="867">
        <f t="shared" si="4"/>
        <v>0</v>
      </c>
      <c r="AB13" s="867">
        <f t="shared" si="4"/>
        <v>2004</v>
      </c>
      <c r="AC13" s="867">
        <f t="shared" si="4"/>
        <v>0</v>
      </c>
      <c r="AD13" s="867">
        <f t="shared" si="4"/>
        <v>0</v>
      </c>
      <c r="AE13" s="871">
        <f t="shared" si="4"/>
        <v>0</v>
      </c>
      <c r="AF13" s="864">
        <f t="shared" si="4"/>
        <v>0</v>
      </c>
      <c r="AG13" s="872">
        <f t="shared" si="4"/>
        <v>0</v>
      </c>
      <c r="AH13" s="869">
        <f t="shared" si="4"/>
        <v>0</v>
      </c>
      <c r="AI13" s="864">
        <f t="shared" si="4"/>
        <v>516</v>
      </c>
      <c r="AJ13" s="866">
        <f t="shared" si="4"/>
        <v>0</v>
      </c>
      <c r="AK13" s="869">
        <f>SUBTOTAL(9,AK9:AK12)</f>
        <v>0</v>
      </c>
      <c r="AL13" s="873">
        <f>IF(ISNUMBER(NºAsuntos!G13/NºAsuntos!E13),NºAsuntos!G13/NºAsuntos!E13," - ")</f>
        <v>0.84953161592505855</v>
      </c>
      <c r="AM13" s="873">
        <f>IF(ISNUMBER(((NºAsuntos!I13/NºAsuntos!G13)*11)/factor_trimestre),((NºAsuntos!I13/NºAsuntos!G13)*11)/factor_trimestre," - ")</f>
        <v>9.8628532046864237</v>
      </c>
      <c r="AN13" s="874">
        <f>IF(ISNUMBER('Resol  Asuntos'!D13/NºAsuntos!G13),'Resol  Asuntos'!D13/NºAsuntos!G13," - ")</f>
        <v>0.3556168159889731</v>
      </c>
      <c r="AO13" s="875">
        <f>IF(ISNUMBER((NºAsuntos!C13+NºAsuntos!E13)/NºAsuntos!G13),(NºAsuntos!C13+NºAsuntos!E13)/NºAsuntos!G13," - ")</f>
        <v>1.9875947622329428</v>
      </c>
      <c r="AP13" s="876" t="str">
        <f t="shared" si="2"/>
        <v xml:space="preserve"> - </v>
      </c>
      <c r="AQ13" s="876">
        <f>IF(ISNUMBER((H13-W13+K13)/(F13)),(H13-W13+K13)/(F13)," - ")</f>
        <v>-2.75</v>
      </c>
      <c r="AR13" s="877">
        <f>IF(ISNUMBER((Datos!P13-Datos!Q13)/(Datos!R13-Datos!P13+Datos!Q13)),(Datos!P13-Datos!Q13)/(Datos!R13-Datos!P13+Datos!Q13)," - ")</f>
        <v>0.12080536912751678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675</v>
      </c>
      <c r="G16" s="332">
        <f>IF(ISNUMBER(IF(D_I="SI",Datos!I16,Datos!I16+Datos!AC16)),IF(D_I="SI",Datos!I16,Datos!I16+Datos!AC16)," - ")</f>
        <v>673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2422</v>
      </c>
      <c r="X16" s="225">
        <f>IF(ISNUMBER(Datos!Q16),Datos!Q16," - ")</f>
        <v>33</v>
      </c>
      <c r="Y16" s="333">
        <f t="shared" ref="Y16:Y17" si="7">SUM(W16:X16)</f>
        <v>2455</v>
      </c>
      <c r="Z16" s="334" t="str">
        <f>IF(ISNUMBER(Datos!CC16),Datos!CC16," - ")</f>
        <v xml:space="preserve"> - </v>
      </c>
      <c r="AA16" s="331">
        <f>IF(ISNUMBER(IF(D_I="SI",Datos!L16,Datos!L16+Datos!AF16)),IF(D_I="SI",Datos!L16,Datos!L16+Datos!AF16)," - ")</f>
        <v>912</v>
      </c>
      <c r="AB16" s="333">
        <f>IF(ISNUMBER(Datos!R16),Datos!R16," - ")</f>
        <v>113</v>
      </c>
      <c r="AC16" s="333">
        <f t="shared" si="6"/>
        <v>1025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218</v>
      </c>
      <c r="AJ16" s="230" t="str">
        <f>IF(ISNUMBER(Datos!BW16),Datos!BW16," - ")</f>
        <v xml:space="preserve"> - </v>
      </c>
      <c r="AK16" s="231" t="str">
        <f>IF(ISNUMBER(Datos!BX16),Datos!BX16," - ")</f>
        <v xml:space="preserve"> - </v>
      </c>
      <c r="AL16" s="242">
        <f>IF(ISNUMBER(NºAsuntos!G16/NºAsuntos!E16),NºAsuntos!G16/NºAsuntos!E16," - ")</f>
        <v>0.91086874764949233</v>
      </c>
      <c r="AM16" s="259">
        <f>IF(ISNUMBER(((NºAsuntos!I16/NºAsuntos!G16)*11)/factor_trimestre),((NºAsuntos!I16/NºAsuntos!G16)*11)/factor_trimestre," - ")</f>
        <v>4.1420313790255987</v>
      </c>
      <c r="AN16" s="243">
        <f>IF(ISNUMBER('Resol  Asuntos'!D16/NºAsuntos!G16),'Resol  Asuntos'!D16/NºAsuntos!G16," - ")</f>
        <v>9.0008257638315436E-2</v>
      </c>
      <c r="AO16" s="244">
        <f>IF(ISNUMBER((NºAsuntos!C16+NºAsuntos!E16)/NºAsuntos!G16),(NºAsuntos!C16+NºAsuntos!E16)/NºAsuntos!G16," - ")</f>
        <v>1.3757225433526012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164</v>
      </c>
      <c r="X17" s="225">
        <f>IF(ISNUMBER(Datos!Q17),Datos!Q17," - ")</f>
        <v>0</v>
      </c>
      <c r="Y17" s="333">
        <f t="shared" si="7"/>
        <v>164</v>
      </c>
      <c r="Z17" s="334" t="str">
        <f>IF(ISNUMBER(Datos!CC17),Datos!CC17," - ")</f>
        <v xml:space="preserve"> - </v>
      </c>
      <c r="AA17" s="331">
        <f>IF(ISNUMBER(Datos!L17),Datos!L17,"-")</f>
        <v>55</v>
      </c>
      <c r="AB17" s="333">
        <f>IF(ISNUMBER(Datos!R17),Datos!R17," - ")</f>
        <v>0</v>
      </c>
      <c r="AC17" s="333">
        <f t="shared" si="6"/>
        <v>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0.84536082474226804</v>
      </c>
      <c r="AM17" s="259">
        <f>IF(ISNUMBER(((NºAsuntos!I17/NºAsuntos!G17)*11)/factor_trimestre),((NºAsuntos!I17/NºAsuntos!G17)*11)/factor_trimestre," - ")</f>
        <v>3.6890243902439028</v>
      </c>
      <c r="AN17" s="243">
        <f>IF(ISNUMBER('Resol  Asuntos'!D17/NºAsuntos!G17),'Resol  Asuntos'!D17/NºAsuntos!G17," - ")</f>
        <v>0.10365853658536585</v>
      </c>
      <c r="AO17" s="244">
        <f>IF(ISNUMBER((NºAsuntos!C17+NºAsuntos!E17)/NºAsuntos!G17),(NºAsuntos!C17+NºAsuntos!E17)/NºAsuntos!G17," - ")</f>
        <v>1.3353658536585367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675</v>
      </c>
      <c r="G18" s="865">
        <f>SUBTOTAL(9,G15:G17)</f>
        <v>698</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2586</v>
      </c>
      <c r="X18" s="866">
        <f t="shared" si="11"/>
        <v>33</v>
      </c>
      <c r="Y18" s="867">
        <f t="shared" si="11"/>
        <v>2619</v>
      </c>
      <c r="Z18" s="867">
        <f t="shared" si="11"/>
        <v>0</v>
      </c>
      <c r="AA18" s="867">
        <f t="shared" si="11"/>
        <v>967</v>
      </c>
      <c r="AB18" s="867">
        <f t="shared" si="11"/>
        <v>113</v>
      </c>
      <c r="AC18" s="867">
        <f t="shared" si="11"/>
        <v>1080</v>
      </c>
      <c r="AD18" s="867">
        <f t="shared" si="11"/>
        <v>0</v>
      </c>
      <c r="AE18" s="871">
        <f t="shared" si="11"/>
        <v>0</v>
      </c>
      <c r="AF18" s="864">
        <f t="shared" si="11"/>
        <v>0</v>
      </c>
      <c r="AG18" s="872">
        <f t="shared" si="11"/>
        <v>0</v>
      </c>
      <c r="AH18" s="869">
        <f t="shared" si="11"/>
        <v>0</v>
      </c>
      <c r="AI18" s="864">
        <f t="shared" si="11"/>
        <v>235</v>
      </c>
      <c r="AJ18" s="866">
        <f t="shared" si="11"/>
        <v>0</v>
      </c>
      <c r="AK18" s="869">
        <f t="shared" si="11"/>
        <v>0</v>
      </c>
      <c r="AL18" s="873">
        <f>IF(ISNUMBER(NºAsuntos!G18/NºAsuntos!E18),NºAsuntos!G18/NºAsuntos!E18," - ")</f>
        <v>0.90641430073606732</v>
      </c>
      <c r="AM18" s="873">
        <f>IF(ISNUMBER(((NºAsuntos!I18/NºAsuntos!G18)*11)/factor_trimestre),((NºAsuntos!I18/NºAsuntos!G18)*11)/factor_trimestre," - ")</f>
        <v>4.1133023975251355</v>
      </c>
      <c r="AN18" s="874">
        <f>IF(ISNUMBER('Resol  Asuntos'!D18/NºAsuntos!G18),'Resol  Asuntos'!D18/NºAsuntos!G18," - ")</f>
        <v>9.0873936581593193E-2</v>
      </c>
      <c r="AO18" s="875">
        <f>IF(ISNUMBER((NºAsuntos!C18+NºAsuntos!E18)/NºAsuntos!G18),(NºAsuntos!C18+NºAsuntos!E18)/NºAsuntos!G18," - ")</f>
        <v>1.3731631863882443</v>
      </c>
      <c r="AP18" s="876" t="str">
        <f t="shared" si="2"/>
        <v xml:space="preserve"> - </v>
      </c>
      <c r="AQ18" s="876">
        <f>IF(ISNUMBER((H18-W18+K18)/(F18)),(H18-W18+K18)/(F18)," - ")</f>
        <v>-3.8311111111111109</v>
      </c>
      <c r="AR18" s="877">
        <f>IF(ISNUMBER((Datos!P18-Datos!Q18)/(Datos!R18-Datos!P18+Datos!Q18)),(Datos!P18-Datos!Q18)/(Datos!R18-Datos!P18+Datos!Q18)," - ")</f>
        <v>3.669724770642202E-2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679</v>
      </c>
      <c r="G19" s="820">
        <f t="shared" si="13"/>
        <v>702</v>
      </c>
      <c r="H19" s="819">
        <f t="shared" si="13"/>
        <v>0</v>
      </c>
      <c r="I19" s="821">
        <f t="shared" si="13"/>
        <v>0</v>
      </c>
      <c r="J19" s="821">
        <f t="shared" si="13"/>
        <v>0</v>
      </c>
      <c r="K19" s="880">
        <f t="shared" si="13"/>
        <v>0</v>
      </c>
      <c r="L19" s="821">
        <f t="shared" si="13"/>
        <v>535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2597</v>
      </c>
      <c r="X19" s="820">
        <f t="shared" si="14"/>
        <v>315</v>
      </c>
      <c r="Y19" s="827">
        <f t="shared" si="14"/>
        <v>2912</v>
      </c>
      <c r="Z19" s="827">
        <f t="shared" si="14"/>
        <v>0</v>
      </c>
      <c r="AA19" s="827">
        <f t="shared" si="14"/>
        <v>967</v>
      </c>
      <c r="AB19" s="827">
        <f t="shared" si="14"/>
        <v>2117</v>
      </c>
      <c r="AC19" s="827">
        <f t="shared" si="14"/>
        <v>1080</v>
      </c>
      <c r="AD19" s="827">
        <f t="shared" si="14"/>
        <v>0</v>
      </c>
      <c r="AE19" s="829">
        <f t="shared" si="14"/>
        <v>0</v>
      </c>
      <c r="AF19" s="830">
        <f t="shared" si="14"/>
        <v>0</v>
      </c>
      <c r="AG19" s="831">
        <f t="shared" si="14"/>
        <v>0</v>
      </c>
      <c r="AH19" s="829">
        <f t="shared" si="14"/>
        <v>0</v>
      </c>
      <c r="AI19" s="819">
        <f t="shared" si="14"/>
        <v>751</v>
      </c>
      <c r="AJ19" s="819">
        <f t="shared" si="14"/>
        <v>0</v>
      </c>
      <c r="AK19" s="829">
        <f t="shared" si="14"/>
        <v>0</v>
      </c>
      <c r="AL19" s="883">
        <f>IF(ISNUMBER(NºAsuntos!G19/NºAsuntos!E19),NºAsuntos!G19/NºAsuntos!E19," - ")</f>
        <v>0.88511291383468538</v>
      </c>
      <c r="AM19" s="884">
        <f>IF(ISNUMBER(((NºAsuntos!I19/NºAsuntos!G19)*11)/factor_trimestre),((NºAsuntos!I19/NºAsuntos!G19)*11)/factor_trimestre," - ")</f>
        <v>6.1798365122615806</v>
      </c>
      <c r="AN19" s="884">
        <f>IF(ISNUMBER('Resol  Asuntos'!D19/NºAsuntos!G19),'Resol  Asuntos'!D19/NºAsuntos!G19," - ")</f>
        <v>0.18602922962595986</v>
      </c>
      <c r="AO19" s="885">
        <f>IF(ISNUMBER((NºAsuntos!C19+NºAsuntos!E19)/NºAsuntos!G19),(NºAsuntos!C19+NºAsuntos!E19)/NºAsuntos!G19," - ")</f>
        <v>1.5940054495912805</v>
      </c>
      <c r="AP19" s="886" t="str">
        <f t="shared" si="2"/>
        <v xml:space="preserve"> - </v>
      </c>
      <c r="AQ19" s="887">
        <f>IF(OR(ISNUMBER(FIND("01",Criterios!A8,1)),ISNUMBER(FIND("02",Criterios!A8,1)),ISNUMBER(FIND("03",Criterios!A8,1)),ISNUMBER(FIND("04",Criterios!A8,1))),(I19-W19+K19)/(F19-K19),(H19-W19+K19)/(F19-K19))</f>
        <v>-3.8247422680412373</v>
      </c>
      <c r="AR19" s="888">
        <f>IF(ISNUMBER((Datos!P19-Datos!Q19)/(Datos!R19-Datos!P19+Datos!Q19)),(Datos!P19-Datos!Q19)/(Datos!R19-Datos!P19+Datos!Q19)," - ")</f>
        <v>0.11597258829731154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387.40203062623891</v>
      </c>
      <c r="G21" s="252">
        <f>IF(ISNUMBER(STDEV(G8:G18)),STDEV(G8:G18),"-")</f>
        <v>369.64401794158664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1340.2509839578556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227.83736889866566</v>
      </c>
      <c r="AJ21" s="251">
        <f t="shared" si="18"/>
        <v>0</v>
      </c>
      <c r="AK21" s="253">
        <f t="shared" si="18"/>
        <v>0</v>
      </c>
      <c r="AL21" s="248">
        <f t="shared" si="18"/>
        <v>0.2872344112629131</v>
      </c>
      <c r="AM21" s="249">
        <f t="shared" si="18"/>
        <v>3.8927205206628099</v>
      </c>
      <c r="AN21" s="249">
        <f t="shared" si="18"/>
        <v>0.15218852933704405</v>
      </c>
      <c r="AO21" s="250">
        <f t="shared" si="18"/>
        <v>0.39769339953436095</v>
      </c>
      <c r="AP21" s="290" t="str">
        <f t="shared" si="18"/>
        <v>-</v>
      </c>
      <c r="AQ21" s="291">
        <f t="shared" si="18"/>
        <v>0.76446099788278743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E75AtstIH36LW22UFUPb5RDgHy/oqFs/tjwS7GVadVWMT38ooREp63b4TsaL9FmOaYOOSQwbY+Bx9YgS6Y4Ow==" saltValue="Ne0tW+dorlGDDB5jCrRX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PUERTO DE LA CRUZ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-0.55555555555555558</v>
      </c>
      <c r="E10" s="347">
        <f>IF(ISNUMBER((Datos!J10-Datos!T10)/Datos!T10),(Datos!J10-Datos!T10)/Datos!T10," - ")</f>
        <v>-0.22222222222222221</v>
      </c>
      <c r="F10" s="347">
        <f>IF(ISNUMBER((Datos!K10-Datos!U10)/Datos!U10),(Datos!K10-Datos!U10)/Datos!U10," - ")</f>
        <v>-0.21428571428571427</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-0.22222222222222229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-0.16369529983792544</v>
      </c>
      <c r="I12" s="349">
        <f>IF(ISNUMBER((Tasas!C12-Datos!BE12)/Datos!BE12),(Tasas!C12-Datos!BE12)/Datos!BE12," - ")</f>
        <v>0.58647255403868026</v>
      </c>
      <c r="J12" s="348">
        <f>IF(ISNUMBER((Tasas!D12-Datos!BF12)/Datos!BF12),(Tasas!D12-Datos!BF12)/Datos!BF12," - ")</f>
        <v>1.2831269349845202</v>
      </c>
      <c r="K12" s="350">
        <f>IF(ISNUMBER((Tasas!E12-Datos!BG12)/Datos!BG12),(Tasas!E12-Datos!BG12)/Datos!BG12," - ")</f>
        <v>0.2712061403508772</v>
      </c>
      <c r="M12" t="e">
        <f>IF(Monitorios="SI",Datos!CE12,0)</f>
        <v>#REF!</v>
      </c>
      <c r="N12" t="e">
        <f>IF(Monitorios="SI",Datos!CF12,0)</f>
        <v>#REF!</v>
      </c>
      <c r="O12" t="e">
        <f>IF(Monitorios="SI",Datos!CG12,0)</f>
        <v>#REF!</v>
      </c>
      <c r="P12" t="e">
        <f>IF(Monitorios="SI",Datos!CH12,0)</f>
        <v>#REF!</v>
      </c>
      <c r="Q12">
        <f>IF(J_V="SI",0,Datos!AG12)</f>
        <v>33</v>
      </c>
      <c r="R12">
        <f>IF(J_V="SI",0,Datos!AH12)</f>
        <v>52</v>
      </c>
      <c r="S12">
        <f>IF(J_V="SI",0,Datos!AI12)</f>
        <v>67</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-0.16369529983792544</v>
      </c>
      <c r="I13" s="356">
        <f>IF(ISNUMBER((Tasas!C13-Datos!BE13)/Datos!BE13),(Tasas!C13-Datos!BE13)/Datos!BE13," - ")</f>
        <v>0.5797643661186046</v>
      </c>
      <c r="J13" s="354">
        <f>IF(ISNUMBER((Tasas!D13-Datos!BF13)/Datos!BF13),(Tasas!D13-Datos!BF13)/Datos!BF13," - ")</f>
        <v>1.281232330430812</v>
      </c>
      <c r="K13" s="357">
        <f>IF(ISNUMBER((Tasas!E13-Datos!BG13)/Datos!BG13),(Tasas!E13-Datos!BG13)/Datos!BG13," - ")</f>
        <v>0.26794838280377392</v>
      </c>
      <c r="M13" t="e">
        <f>IF(Monitorios="SI",Datos!CE13,0)</f>
        <v>#REF!</v>
      </c>
      <c r="N13" t="e">
        <f>IF(Monitorios="SI",Datos!CF13,0)</f>
        <v>#REF!</v>
      </c>
      <c r="O13" t="e">
        <f>IF(Monitorios="SI",Datos!CG13,0)</f>
        <v>#REF!</v>
      </c>
      <c r="P13" t="e">
        <f>IF(Monitorios="SI",Datos!CH13,0)</f>
        <v>#REF!</v>
      </c>
      <c r="Q13">
        <f>IF(J_V="SI",0,Datos!AG13)</f>
        <v>33</v>
      </c>
      <c r="R13">
        <f>IF(J_V="SI",0,Datos!AH13)</f>
        <v>52</v>
      </c>
      <c r="S13">
        <f>IF(J_V="SI",0,Datos!AI13)</f>
        <v>67</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-0.14158163265306123</v>
      </c>
      <c r="E16" s="347">
        <f>IF(ISNUMBER(
   IF(D_I="SI",(Datos!J16-Datos!T16)/Datos!T16,(Datos!J16+Datos!AD16-(Datos!T16+Datos!AL16))/(Datos!T16+Datos!AL16))
     ),IF(D_I="SI",(Datos!J16-Datos!T16)/Datos!T16,(Datos!J16+Datos!AD16-(Datos!T16+Datos!AL16))/(Datos!T16+Datos!AL16))," - ")</f>
        <v>-9.7726501526976581E-2</v>
      </c>
      <c r="F16" s="347">
        <f>IF(ISNUMBER(
   IF(D_I="SI",(Datos!K16-Datos!U16)/Datos!U16,(Datos!K16+Datos!AE16-(Datos!U16+Datos!AM16))/(Datos!U16+Datos!AM16))
     ),IF(D_I="SI",(Datos!K16-Datos!U16)/Datos!U16,(Datos!K16+Datos!AE16-(Datos!U16+Datos!AM16))/(Datos!U16+Datos!AM16))," - ")</f>
        <v>-0.21056062581486309</v>
      </c>
      <c r="G16" s="348">
        <f>IF(ISNUMBER(
   IF(D_I="SI",(Datos!L16-Datos!V16)/Datos!V16,(Datos!L16+Datos!AF16-(Datos!V16+Datos!AN16))/(Datos!V16+Datos!AN16))
     ),IF(D_I="SI",(Datos!L16-Datos!V16)/Datos!V16,(Datos!L16+Datos!AF16-(Datos!V16+Datos!AN16))/(Datos!V16+Datos!AN16))," - ")</f>
        <v>0.35512630014858843</v>
      </c>
      <c r="H16" s="229">
        <f>IF(ISNUMBER((Datos!M16-Datos!W16)/Datos!W16),(Datos!M16-Datos!W16)/Datos!W16," - ")</f>
        <v>-0.25850340136054423</v>
      </c>
      <c r="I16" s="349">
        <f>IF(ISNUMBER((Tasas!C16-Datos!BE16)/Datos!BE16),(Tasas!C16-Datos!BE16)/Datos!BE16," - ")</f>
        <v>0.71656791447393453</v>
      </c>
      <c r="J16" s="348">
        <f>IF(ISNUMBER((Tasas!D16-Datos!BF16)/Datos!BF16),(Tasas!D16-Datos!BF16)/Datos!BF16," - ")</f>
        <v>-6.0730154985198084E-2</v>
      </c>
      <c r="K16" s="350">
        <f>IF(ISNUMBER((Tasas!E16-Datos!BG16)/Datos!BG16),(Tasas!E16-Datos!BG16)/Datos!BG16," - ")</f>
        <v>0.13125616805300999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-4.4334975369458129E-2</v>
      </c>
      <c r="F17" s="347">
        <f>IF(ISNUMBER(
   IF(D_I="SI",(Datos!K17-Datos!U17)/Datos!U17,(Datos!K17+Datos!AE17-(Datos!U17+Datos!AM17))/(Datos!U17+Datos!AM17))
     ),IF(D_I="SI",(Datos!K17-Datos!U17)/Datos!U17,(Datos!K17+Datos!AE17-(Datos!U17+Datos!AM17))/(Datos!U17+Datos!AM17))," - ")</f>
        <v>-0.21153846153846154</v>
      </c>
      <c r="G17" s="348">
        <f>IF(ISNUMBER(
   IF(D_I="SI",(Datos!L17-Datos!V17)/Datos!V17,(Datos!L17+Datos!AF17-(Datos!V17+Datos!AN17))/(Datos!V17+Datos!AN17))
     ),IF(D_I="SI",(Datos!L17-Datos!V17)/Datos!V17,(Datos!L17+Datos!AF17-(Datos!V17+Datos!AN17))/(Datos!V17+Datos!AN17))," - ")</f>
        <v>1.2</v>
      </c>
      <c r="H17" s="229">
        <f>IF(ISNUMBER((Datos!M17-Datos!W17)/Datos!W17),(Datos!M17-Datos!W17)/Datos!W17," - ")</f>
        <v>-0.5641025641025641</v>
      </c>
      <c r="I17" s="349">
        <f>IF(ISNUMBER((Tasas!C17-Datos!BE17)/Datos!BE17),(Tasas!C17-Datos!BE17)/Datos!BE17," - ")</f>
        <v>1.7902439024390244</v>
      </c>
      <c r="J17" s="348">
        <f>IF(ISNUMBER((Tasas!D17-Datos!BF17)/Datos!BF17),(Tasas!D17-Datos!BF17)/Datos!BF17," - ")</f>
        <v>-0.44715447154471549</v>
      </c>
      <c r="K17" s="350">
        <f>IF(ISNUMBER((Tasas!E17-Datos!BG17)/Datos!BG17),(Tasas!E17-Datos!BG17)/Datos!BG17," - ")</f>
        <v>0.1920862556265048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-0.14250614250614252</v>
      </c>
      <c r="E18" s="353">
        <f>IF(ISNUMBER(
   IF(D_I="SI",(Datos!J18-Datos!T18)/Datos!T18,(Datos!J18+Datos!AD18-(Datos!T18+Datos!AL18))/(Datos!T18+Datos!AL18))
     ),IF(D_I="SI",(Datos!J18-Datos!T18)/Datos!T18,(Datos!J18+Datos!AD18-(Datos!T18+Datos!AL18))/(Datos!T18+Datos!AL18))," - ")</f>
        <v>-9.4285714285714292E-2</v>
      </c>
      <c r="F18" s="353">
        <f>IF(ISNUMBER(
   IF(D_I="SI",(Datos!K18-Datos!U18)/Datos!U18,(Datos!K18+Datos!AE18-(Datos!U18+Datos!AM18))/(Datos!U18+Datos!AM18))
     ),IF(D_I="SI",(Datos!K18-Datos!U18)/Datos!U18,(Datos!K18+Datos!AE18-(Datos!U18+Datos!AM18))/(Datos!U18+Datos!AM18))," - ")</f>
        <v>-0.21062271062271062</v>
      </c>
      <c r="G18" s="354">
        <f>IF(ISNUMBER(
   IF(D_I="SI",(Datos!L18-Datos!V18)/Datos!V18,(Datos!L18+Datos!AF18-(Datos!V18+Datos!AN18))/(Datos!V18+Datos!AN18))
     ),IF(D_I="SI",(Datos!L18-Datos!V18)/Datos!V18,(Datos!L18+Datos!AF18-(Datos!V18+Datos!AN18))/(Datos!V18+Datos!AN18))," - ")</f>
        <v>0.38538681948424069</v>
      </c>
      <c r="H18" s="355">
        <f>IF(ISNUMBER((Datos!M18-Datos!W18)/Datos!W18),(Datos!M18-Datos!W18)/Datos!W18," - ")</f>
        <v>-0.29429429429429427</v>
      </c>
      <c r="I18" s="356">
        <f>IF(ISNUMBER((Tasas!C18-Datos!BE18)/Datos!BE18),(Tasas!C18-Datos!BE18)/Datos!BE18," - ")</f>
        <v>0.75503759498467604</v>
      </c>
      <c r="J18" s="354">
        <f>IF(ISNUMBER((Tasas!D18-Datos!BF18)/Datos!BF18),(Tasas!D18-Datos!BF18)/Datos!BF18," - ")</f>
        <v>-0.10599694822432643</v>
      </c>
      <c r="K18" s="357">
        <f>IF(ISNUMBER((Tasas!E18-Datos!BG18)/Datos!BG18),(Tasas!E18-Datos!BG18)/Datos!BG18," - ")</f>
        <v>0.13483415706556223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-5.5919395465994962E-2</v>
      </c>
      <c r="E19" s="362">
        <f>IF(ISNUMBER(
   IF(J_V="SI",(Datos!J19-Datos!T19)/Datos!T19,(Datos!J19+Datos!Z19-(Datos!T19+Datos!AH19))/(Datos!T19+Datos!AH19))
     ),IF(J_V="SI",(Datos!J19-Datos!T19)/Datos!T19,(Datos!J19+Datos!Z19-(Datos!T19+Datos!AH19))/(Datos!T19+Datos!AH19))," - ")</f>
        <v>-0.12741534340922134</v>
      </c>
      <c r="F19" s="362">
        <f>IF(ISNUMBER(
   IF(J_V="SI",(Datos!K19-Datos!U19)/Datos!U19,(Datos!K19+Datos!AA19-(Datos!U19+Datos!AI19))/(Datos!U19+Datos!AI19))
     ),IF(J_V="SI",(Datos!K19-Datos!U19)/Datos!U19,(Datos!K19+Datos!AA19-(Datos!U19+Datos!AI19))/(Datos!U19+Datos!AI19))," - ")</f>
        <v>-0.24513836948391923</v>
      </c>
      <c r="G19" s="363">
        <f>IF(ISNUMBER(
   IF(J_V="SI",(Datos!L19-Datos!V19)/Datos!V19,(Datos!L19+Datos!AB19-(Datos!V19+Datos!AJ19))/(Datos!V19+Datos!AJ19))
     ),IF(J_V="SI",(Datos!L19-Datos!V19)/Datos!V19,(Datos!L19+Datos!AB19-(Datos!V19+Datos!AJ19))/(Datos!V19+Datos!AJ19))," - ")</f>
        <v>0.21024546424759871</v>
      </c>
      <c r="H19" s="364">
        <f>IF(ISNUMBER((Datos!M19-Datos!W19)/Datos!W19),(Datos!M19-Datos!W19)/Datos!W19," - ")</f>
        <v>-0.20947368421052631</v>
      </c>
      <c r="I19" s="361">
        <f>IF(ISNUMBER((Tasas!C19-Datos!BE19)/Datos!BE19),(Tasas!C19-Datos!BE19)/Datos!BE19," - ")</f>
        <v>0.60326795709590242</v>
      </c>
      <c r="J19" s="362">
        <f>IF(ISNUMBER((Tasas!D19-Datos!BF19)/Datos!BF19),(Tasas!D19-Datos!BF19)/Datos!BF19," - ")</f>
        <v>0.51659195127992885</v>
      </c>
      <c r="K19" s="363">
        <f>IF(ISNUMBER((Tasas!E19-Datos!BG19)/Datos!BG19),(Tasas!E19-Datos!BG19)/Datos!BG19," - ")</f>
        <v>0.18202178929758303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0.20298453121330515</v>
      </c>
      <c r="E21" s="277">
        <f t="shared" si="1"/>
        <v>7.575639550989606E-2</v>
      </c>
      <c r="F21" s="277">
        <f t="shared" si="1"/>
        <v>1.7473764756901424E-3</v>
      </c>
      <c r="G21" s="278">
        <f t="shared" si="1"/>
        <v>0.91168277700068368</v>
      </c>
      <c r="H21" s="284">
        <f t="shared" si="1"/>
        <v>0.16434865990159617</v>
      </c>
      <c r="I21" s="276">
        <f t="shared" si="1"/>
        <v>0.89554140454868347</v>
      </c>
      <c r="J21" s="277">
        <f t="shared" si="1"/>
        <v>0.82794459320211211</v>
      </c>
      <c r="K21" s="278">
        <f t="shared" si="1"/>
        <v>0.18270472747878538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hOsPwr+vfNoBqxwvngsBbxld4rvwJg1X2wuY/Kzo8uCmgqBO3AabTSaaW3XZscd3NHUnVrYVgyt0YSqGlMDuw==" saltValue="i54KqZAHoakAIwkCP96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